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1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updateLinks="never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a740434\Downloads\"/>
    </mc:Choice>
  </mc:AlternateContent>
  <xr:revisionPtr revIDLastSave="0" documentId="8_{4260F723-21DA-44A9-BF52-6336C23A182F}" xr6:coauthVersionLast="47" xr6:coauthVersionMax="47" xr10:uidLastSave="{00000000-0000-0000-0000-000000000000}"/>
  <bookViews>
    <workbookView xWindow="28680" yWindow="-120" windowWidth="29040" windowHeight="15720" tabRatio="391" xr2:uid="{00000000-000D-0000-FFFF-FFFF00000000}"/>
  </bookViews>
  <sheets>
    <sheet name="GENERAL INDIV (2)" sheetId="10" r:id="rId1"/>
    <sheet name="GENERAL EQUIPE" sheetId="3" r:id="rId2"/>
    <sheet name="T1" sheetId="2" r:id="rId3"/>
    <sheet name="T2" sheetId="4" r:id="rId4"/>
    <sheet name="T3" sheetId="5" r:id="rId5"/>
    <sheet name="T4" sheetId="6" r:id="rId6"/>
    <sheet name="T5" sheetId="7" r:id="rId7"/>
    <sheet name="T6" sheetId="8" r:id="rId8"/>
    <sheet name="T7" sheetId="9" r:id="rId9"/>
  </sheets>
  <externalReferences>
    <externalReference r:id="rId10"/>
  </externalReferences>
  <definedNames>
    <definedName name="_xlnm._FilterDatabase" localSheetId="1" hidden="1">'GENERAL EQUIPE'!#REF!</definedName>
    <definedName name="_xlnm._FilterDatabase" localSheetId="0" hidden="1">'GENERAL INDIV (2)'!$D$4:$D$98</definedName>
    <definedName name="NOM" localSheetId="1">[1]DATA!#REF!</definedName>
    <definedName name="NOM" localSheetId="3">[1]DATA!#REF!</definedName>
    <definedName name="NOM" localSheetId="4">[1]DATA!#REF!</definedName>
    <definedName name="NOM" localSheetId="5">[1]DATA!#REF!</definedName>
    <definedName name="NOM" localSheetId="6">[1]DATA!#REF!</definedName>
    <definedName name="NOM" localSheetId="7">[1]DATA!#REF!</definedName>
    <definedName name="NOM" localSheetId="8">[1]DATA!#REF!</definedName>
    <definedName name="NOM">[1]DATA!#REF!</definedName>
    <definedName name="NOMBIS" localSheetId="3">[1]DATA!#REF!</definedName>
    <definedName name="NOMBIS" localSheetId="4">[1]DATA!#REF!</definedName>
    <definedName name="NOMBIS" localSheetId="5">[1]DATA!#REF!</definedName>
    <definedName name="NOMBIS" localSheetId="6">[1]DATA!#REF!</definedName>
    <definedName name="NOMBIS" localSheetId="7">[1]DATA!#REF!</definedName>
    <definedName name="NOMBIS" localSheetId="8">[1]DATA!#REF!</definedName>
    <definedName name="NOMBIS">[1]DATA!#REF!</definedName>
    <definedName name="NOMFSDF" localSheetId="5">[1]DATA!#REF!</definedName>
    <definedName name="NOMFSDF" localSheetId="6">[1]DATA!#REF!</definedName>
    <definedName name="NOMFSDF" localSheetId="7">[1]DATA!#REF!</definedName>
    <definedName name="NOMFSDF" localSheetId="8">[1]DATA!#REF!</definedName>
    <definedName name="NOMFSDF">[1]DATA!#REF!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6" i="9" l="1"/>
  <c r="C7" i="9"/>
  <c r="C8" i="9"/>
  <c r="C9" i="9"/>
  <c r="C10" i="9"/>
  <c r="C11" i="9"/>
  <c r="C5" i="9"/>
  <c r="K83" i="10"/>
  <c r="U11" i="9"/>
  <c r="C83" i="9"/>
  <c r="C84" i="9"/>
  <c r="C40" i="9"/>
  <c r="C41" i="9"/>
  <c r="C42" i="9"/>
  <c r="C43" i="9"/>
  <c r="C44" i="9"/>
  <c r="C45" i="9"/>
  <c r="C46" i="9"/>
  <c r="C47" i="9"/>
  <c r="C48" i="9"/>
  <c r="C49" i="9"/>
  <c r="C50" i="9"/>
  <c r="C51" i="9"/>
  <c r="C22" i="9"/>
  <c r="C23" i="9"/>
  <c r="C24" i="9"/>
  <c r="E99" i="10"/>
  <c r="F99" i="10"/>
  <c r="G99" i="10"/>
  <c r="H99" i="10"/>
  <c r="I99" i="10"/>
  <c r="J99" i="10"/>
  <c r="E88" i="10"/>
  <c r="F88" i="10"/>
  <c r="G88" i="10"/>
  <c r="H88" i="10"/>
  <c r="I88" i="10"/>
  <c r="J88" i="10"/>
  <c r="E62" i="10"/>
  <c r="F62" i="10"/>
  <c r="G62" i="10"/>
  <c r="H62" i="10"/>
  <c r="I62" i="10"/>
  <c r="J62" i="10"/>
  <c r="I95" i="10" l="1"/>
  <c r="I81" i="10"/>
  <c r="I71" i="10"/>
  <c r="I97" i="10"/>
  <c r="I75" i="10"/>
  <c r="I68" i="10"/>
  <c r="I91" i="10"/>
  <c r="I92" i="10"/>
  <c r="I73" i="10"/>
  <c r="I96" i="10"/>
  <c r="I89" i="10"/>
  <c r="I79" i="10"/>
  <c r="I83" i="10"/>
  <c r="I84" i="10"/>
  <c r="I93" i="10"/>
  <c r="I90" i="10"/>
  <c r="I70" i="10"/>
  <c r="I98" i="10"/>
  <c r="I80" i="10"/>
  <c r="I76" i="10"/>
  <c r="I72" i="10"/>
  <c r="I94" i="10"/>
  <c r="I77" i="10"/>
  <c r="I100" i="10"/>
  <c r="I78" i="10"/>
  <c r="I87" i="10"/>
  <c r="I86" i="10"/>
  <c r="I74" i="10"/>
  <c r="I69" i="10"/>
  <c r="I85" i="10"/>
  <c r="C11" i="7"/>
  <c r="C10" i="7"/>
  <c r="C9" i="7"/>
  <c r="C8" i="7"/>
  <c r="C7" i="7"/>
  <c r="C6" i="7"/>
  <c r="C5" i="7"/>
  <c r="C95" i="8" l="1"/>
  <c r="C96" i="8"/>
  <c r="C97" i="8"/>
  <c r="C71" i="8"/>
  <c r="C72" i="8"/>
  <c r="C73" i="8"/>
  <c r="C51" i="8"/>
  <c r="C52" i="8"/>
  <c r="C53" i="8"/>
  <c r="C54" i="8"/>
  <c r="C55" i="8"/>
  <c r="C56" i="8"/>
  <c r="C57" i="8"/>
  <c r="E44" i="10" l="1"/>
  <c r="F44" i="10"/>
  <c r="G44" i="10"/>
  <c r="H44" i="10"/>
  <c r="E38" i="10"/>
  <c r="F38" i="10"/>
  <c r="G38" i="10"/>
  <c r="H38" i="10"/>
  <c r="E42" i="10"/>
  <c r="F42" i="10"/>
  <c r="G42" i="10"/>
  <c r="H42" i="10"/>
  <c r="C82" i="7"/>
  <c r="C83" i="7"/>
  <c r="C84" i="7"/>
  <c r="C85" i="7"/>
  <c r="C86" i="7"/>
  <c r="C61" i="7"/>
  <c r="C62" i="7"/>
  <c r="C63" i="7"/>
  <c r="C45" i="7"/>
  <c r="C46" i="7"/>
  <c r="C47" i="7"/>
  <c r="C48" i="7"/>
  <c r="C49" i="7"/>
  <c r="C22" i="7"/>
  <c r="C23" i="7"/>
  <c r="C24" i="7"/>
  <c r="C25" i="7"/>
  <c r="E40" i="10" l="1"/>
  <c r="F40" i="10"/>
  <c r="G40" i="10"/>
  <c r="H40" i="10"/>
  <c r="E94" i="10"/>
  <c r="F94" i="10"/>
  <c r="G94" i="10"/>
  <c r="H94" i="10"/>
  <c r="C27" i="6"/>
  <c r="C10" i="6"/>
  <c r="C11" i="6"/>
  <c r="C12" i="6"/>
  <c r="F50" i="10"/>
  <c r="F27" i="10"/>
  <c r="F31" i="10"/>
  <c r="F89" i="10"/>
  <c r="C77" i="5" l="1"/>
  <c r="C78" i="5"/>
  <c r="C65" i="5"/>
  <c r="C66" i="5"/>
  <c r="C53" i="5"/>
  <c r="C44" i="5"/>
  <c r="C45" i="5"/>
  <c r="C28" i="5"/>
  <c r="C29" i="5"/>
  <c r="C11" i="5"/>
  <c r="C12" i="5"/>
  <c r="C13" i="5"/>
  <c r="C46" i="4"/>
  <c r="C47" i="4"/>
  <c r="C48" i="4"/>
  <c r="C63" i="4"/>
  <c r="C64" i="4"/>
  <c r="C63" i="2" l="1"/>
  <c r="C72" i="2"/>
  <c r="C73" i="2"/>
  <c r="C51" i="2"/>
  <c r="C8" i="2"/>
  <c r="C9" i="2"/>
  <c r="C71" i="9" l="1"/>
  <c r="C72" i="9"/>
  <c r="C60" i="9"/>
  <c r="C61" i="9"/>
  <c r="L8" i="8" a="1"/>
  <c r="L8" i="8" s="1"/>
  <c r="U13" i="8" l="1"/>
  <c r="U12" i="8"/>
  <c r="C77" i="8"/>
  <c r="C50" i="8"/>
  <c r="C26" i="8"/>
  <c r="C25" i="8"/>
  <c r="C27" i="8"/>
  <c r="C28" i="8"/>
  <c r="C29" i="8"/>
  <c r="C30" i="8"/>
  <c r="C31" i="8"/>
  <c r="C32" i="8"/>
  <c r="C6" i="8"/>
  <c r="C8" i="8"/>
  <c r="C9" i="8"/>
  <c r="C7" i="8"/>
  <c r="C10" i="8"/>
  <c r="C11" i="8"/>
  <c r="C12" i="8"/>
  <c r="C58" i="7" l="1"/>
  <c r="C59" i="7"/>
  <c r="C60" i="7"/>
  <c r="C64" i="7"/>
  <c r="C65" i="7"/>
  <c r="C66" i="7"/>
  <c r="C72" i="7"/>
  <c r="C73" i="7"/>
  <c r="G5" i="6"/>
  <c r="G6" i="6"/>
  <c r="G7" i="6"/>
  <c r="G17" i="6"/>
  <c r="G18" i="6"/>
  <c r="G19" i="6"/>
  <c r="G50" i="6"/>
  <c r="G51" i="6"/>
  <c r="G52" i="6"/>
  <c r="G40" i="6"/>
  <c r="G41" i="6"/>
  <c r="G42" i="6"/>
  <c r="G58" i="6"/>
  <c r="G59" i="6"/>
  <c r="G60" i="6"/>
  <c r="G68" i="6"/>
  <c r="G69" i="6"/>
  <c r="G70" i="6"/>
  <c r="G32" i="6"/>
  <c r="G33" i="6"/>
  <c r="G34" i="6"/>
  <c r="C71" i="6"/>
  <c r="C54" i="6"/>
  <c r="C8" i="6"/>
  <c r="C9" i="6"/>
  <c r="C52" i="5"/>
  <c r="C75" i="5"/>
  <c r="C62" i="5"/>
  <c r="C63" i="5"/>
  <c r="G5" i="4"/>
  <c r="G6" i="4"/>
  <c r="G7" i="4"/>
  <c r="G18" i="4"/>
  <c r="G19" i="4"/>
  <c r="G20" i="4"/>
  <c r="G28" i="4"/>
  <c r="G29" i="4"/>
  <c r="G30" i="4"/>
  <c r="G35" i="4"/>
  <c r="G36" i="4"/>
  <c r="G37" i="4"/>
  <c r="G51" i="4"/>
  <c r="G52" i="4"/>
  <c r="G53" i="4"/>
  <c r="G61" i="4"/>
  <c r="G62" i="4"/>
  <c r="G63" i="4"/>
  <c r="G70" i="4"/>
  <c r="G71" i="4"/>
  <c r="G72" i="4"/>
  <c r="C45" i="4"/>
  <c r="C54" i="4"/>
  <c r="C55" i="4"/>
  <c r="C5" i="4"/>
  <c r="C6" i="4"/>
  <c r="C7" i="4"/>
  <c r="C8" i="4"/>
  <c r="C9" i="4"/>
  <c r="C10" i="4"/>
  <c r="C11" i="4"/>
  <c r="C18" i="4"/>
  <c r="C19" i="4"/>
  <c r="C20" i="4"/>
  <c r="C21" i="4"/>
  <c r="C22" i="4"/>
  <c r="C23" i="4"/>
  <c r="C28" i="4"/>
  <c r="C29" i="4"/>
  <c r="C30" i="4"/>
  <c r="C35" i="4"/>
  <c r="C36" i="4"/>
  <c r="C37" i="4"/>
  <c r="C38" i="4"/>
  <c r="C39" i="4"/>
  <c r="C40" i="4"/>
  <c r="C41" i="4"/>
  <c r="C42" i="4"/>
  <c r="C43" i="4"/>
  <c r="C44" i="4"/>
  <c r="C51" i="4"/>
  <c r="C52" i="4"/>
  <c r="C53" i="4"/>
  <c r="C56" i="4"/>
  <c r="C57" i="4"/>
  <c r="C58" i="4"/>
  <c r="C61" i="4"/>
  <c r="C62" i="4"/>
  <c r="C65" i="4"/>
  <c r="C66" i="4"/>
  <c r="C67" i="4"/>
  <c r="C70" i="4"/>
  <c r="C71" i="4"/>
  <c r="C72" i="4"/>
  <c r="G17" i="9"/>
  <c r="G18" i="9"/>
  <c r="G19" i="9"/>
  <c r="G31" i="9"/>
  <c r="G32" i="9"/>
  <c r="G33" i="9"/>
  <c r="G39" i="9"/>
  <c r="G40" i="9"/>
  <c r="G41" i="9"/>
  <c r="G57" i="9"/>
  <c r="G58" i="9"/>
  <c r="G59" i="9"/>
  <c r="G69" i="9"/>
  <c r="G70" i="9"/>
  <c r="G71" i="9"/>
  <c r="G79" i="9"/>
  <c r="G80" i="9"/>
  <c r="G81" i="9"/>
  <c r="G25" i="8"/>
  <c r="G26" i="8"/>
  <c r="G27" i="8"/>
  <c r="G39" i="8"/>
  <c r="G40" i="8"/>
  <c r="G41" i="8"/>
  <c r="G47" i="8"/>
  <c r="G48" i="8"/>
  <c r="G49" i="8"/>
  <c r="G68" i="8"/>
  <c r="G69" i="8"/>
  <c r="G70" i="8"/>
  <c r="G80" i="8"/>
  <c r="G81" i="8"/>
  <c r="G82" i="8"/>
  <c r="G89" i="8"/>
  <c r="G90" i="8"/>
  <c r="G91" i="8"/>
  <c r="G5" i="9"/>
  <c r="G6" i="9"/>
  <c r="G7" i="9"/>
  <c r="G5" i="8"/>
  <c r="G6" i="8"/>
  <c r="G7" i="8"/>
  <c r="G17" i="7"/>
  <c r="G18" i="7"/>
  <c r="G19" i="7"/>
  <c r="G33" i="7"/>
  <c r="G34" i="7"/>
  <c r="G35" i="7"/>
  <c r="G41" i="7"/>
  <c r="G42" i="7"/>
  <c r="G43" i="7"/>
  <c r="G57" i="7"/>
  <c r="G58" i="7"/>
  <c r="G59" i="7"/>
  <c r="G70" i="7"/>
  <c r="G71" i="7"/>
  <c r="G72" i="7"/>
  <c r="G78" i="7"/>
  <c r="G79" i="7"/>
  <c r="G80" i="7"/>
  <c r="G5" i="7"/>
  <c r="G6" i="7"/>
  <c r="G7" i="7"/>
  <c r="G21" i="5"/>
  <c r="G22" i="5"/>
  <c r="G23" i="5"/>
  <c r="G34" i="5"/>
  <c r="G35" i="5"/>
  <c r="G36" i="5"/>
  <c r="G42" i="5"/>
  <c r="G43" i="5"/>
  <c r="G44" i="5"/>
  <c r="G58" i="5"/>
  <c r="G59" i="5"/>
  <c r="G60" i="5"/>
  <c r="G71" i="5"/>
  <c r="G72" i="5"/>
  <c r="G73" i="5"/>
  <c r="G84" i="5"/>
  <c r="G85" i="5"/>
  <c r="G86" i="5"/>
  <c r="G5" i="5"/>
  <c r="G6" i="5"/>
  <c r="G7" i="5"/>
  <c r="G15" i="2"/>
  <c r="G16" i="2"/>
  <c r="G17" i="2"/>
  <c r="G27" i="2"/>
  <c r="G28" i="2"/>
  <c r="G29" i="2"/>
  <c r="G35" i="2"/>
  <c r="G36" i="2"/>
  <c r="G37" i="2"/>
  <c r="G47" i="2"/>
  <c r="G48" i="2"/>
  <c r="G49" i="2"/>
  <c r="G58" i="2"/>
  <c r="G59" i="2"/>
  <c r="G60" i="2"/>
  <c r="G68" i="2"/>
  <c r="G69" i="2"/>
  <c r="G70" i="2"/>
  <c r="G5" i="2"/>
  <c r="G6" i="2"/>
  <c r="G7" i="2"/>
  <c r="C5" i="2"/>
  <c r="C6" i="2"/>
  <c r="C7" i="2"/>
  <c r="C10" i="2"/>
  <c r="C11" i="2"/>
  <c r="C13" i="2"/>
  <c r="C14" i="2"/>
  <c r="C17" i="2"/>
  <c r="C18" i="2"/>
  <c r="C19" i="2"/>
  <c r="C20" i="2"/>
  <c r="C21" i="2"/>
  <c r="C22" i="2"/>
  <c r="C23" i="2"/>
  <c r="C24" i="2"/>
  <c r="C25" i="2"/>
  <c r="C26" i="2"/>
  <c r="C29" i="2"/>
  <c r="C30" i="2"/>
  <c r="C31" i="2"/>
  <c r="C32" i="2"/>
  <c r="C33" i="2"/>
  <c r="C34" i="2"/>
  <c r="C37" i="2"/>
  <c r="C38" i="2"/>
  <c r="C39" i="2"/>
  <c r="C40" i="2"/>
  <c r="C41" i="2"/>
  <c r="C42" i="2"/>
  <c r="C43" i="2"/>
  <c r="C44" i="2"/>
  <c r="C45" i="2"/>
  <c r="C46" i="2"/>
  <c r="C49" i="2"/>
  <c r="C50" i="2"/>
  <c r="C52" i="2"/>
  <c r="C53" i="2"/>
  <c r="C54" i="2"/>
  <c r="C55" i="2"/>
  <c r="C56" i="2"/>
  <c r="C57" i="2"/>
  <c r="C60" i="2"/>
  <c r="C61" i="2"/>
  <c r="C62" i="2"/>
  <c r="C64" i="2"/>
  <c r="C65" i="2"/>
  <c r="C66" i="2"/>
  <c r="C67" i="2"/>
  <c r="C70" i="2"/>
  <c r="C71" i="2"/>
  <c r="C74" i="2"/>
  <c r="C75" i="2"/>
  <c r="C76" i="2"/>
  <c r="C77" i="2"/>
  <c r="C5" i="5"/>
  <c r="C6" i="5"/>
  <c r="C7" i="5"/>
  <c r="C8" i="5"/>
  <c r="C9" i="5"/>
  <c r="C10" i="5"/>
  <c r="C18" i="5"/>
  <c r="C21" i="5"/>
  <c r="C22" i="5"/>
  <c r="C23" i="5"/>
  <c r="C24" i="5"/>
  <c r="C27" i="5"/>
  <c r="C25" i="5"/>
  <c r="C26" i="5"/>
  <c r="C30" i="5"/>
  <c r="C31" i="5"/>
  <c r="C34" i="5"/>
  <c r="C35" i="5"/>
  <c r="C36" i="5"/>
  <c r="C37" i="5"/>
  <c r="C38" i="5"/>
  <c r="C39" i="5"/>
  <c r="C42" i="5"/>
  <c r="C43" i="5"/>
  <c r="C46" i="5"/>
  <c r="C47" i="5"/>
  <c r="C48" i="5"/>
  <c r="C49" i="5"/>
  <c r="C50" i="5"/>
  <c r="C51" i="5"/>
  <c r="C54" i="5"/>
  <c r="C55" i="5"/>
  <c r="C58" i="5"/>
  <c r="C59" i="5"/>
  <c r="C60" i="5"/>
  <c r="C61" i="5"/>
  <c r="C64" i="5"/>
  <c r="C67" i="5"/>
  <c r="C68" i="5"/>
  <c r="C71" i="5"/>
  <c r="C72" i="5"/>
  <c r="C73" i="5"/>
  <c r="C74" i="5"/>
  <c r="C76" i="5"/>
  <c r="C79" i="5"/>
  <c r="C81" i="5"/>
  <c r="C84" i="5"/>
  <c r="C85" i="5"/>
  <c r="C86" i="5"/>
  <c r="C5" i="6"/>
  <c r="C6" i="6"/>
  <c r="C7" i="6"/>
  <c r="C13" i="6"/>
  <c r="C14" i="6"/>
  <c r="C17" i="6"/>
  <c r="C18" i="6"/>
  <c r="C19" i="6"/>
  <c r="C20" i="6"/>
  <c r="C21" i="6"/>
  <c r="C22" i="6"/>
  <c r="C23" i="6"/>
  <c r="C24" i="6"/>
  <c r="C25" i="6"/>
  <c r="C26" i="6"/>
  <c r="C28" i="6"/>
  <c r="C30" i="6"/>
  <c r="C33" i="6"/>
  <c r="C34" i="6"/>
  <c r="C35" i="6"/>
  <c r="C36" i="6"/>
  <c r="C37" i="6"/>
  <c r="C38" i="6"/>
  <c r="C41" i="6"/>
  <c r="C42" i="6"/>
  <c r="C43" i="6"/>
  <c r="C44" i="6"/>
  <c r="C45" i="6"/>
  <c r="C46" i="6"/>
  <c r="C47" i="6"/>
  <c r="C48" i="6"/>
  <c r="C51" i="6"/>
  <c r="C52" i="6"/>
  <c r="C53" i="6"/>
  <c r="C55" i="6"/>
  <c r="C56" i="6"/>
  <c r="C59" i="6"/>
  <c r="C60" i="6"/>
  <c r="C61" i="6"/>
  <c r="C62" i="6"/>
  <c r="C63" i="6"/>
  <c r="C65" i="6"/>
  <c r="C66" i="6"/>
  <c r="C69" i="6"/>
  <c r="C70" i="6"/>
  <c r="C14" i="7"/>
  <c r="C15" i="7"/>
  <c r="C18" i="7"/>
  <c r="C19" i="7"/>
  <c r="C20" i="7"/>
  <c r="C21" i="7"/>
  <c r="C26" i="7"/>
  <c r="C27" i="7"/>
  <c r="C28" i="7"/>
  <c r="C29" i="7"/>
  <c r="C30" i="7"/>
  <c r="C31" i="7"/>
  <c r="C34" i="7"/>
  <c r="C35" i="7"/>
  <c r="C36" i="7"/>
  <c r="C37" i="7"/>
  <c r="C38" i="7"/>
  <c r="C39" i="7"/>
  <c r="C42" i="7"/>
  <c r="C43" i="7"/>
  <c r="C44" i="7"/>
  <c r="C50" i="7"/>
  <c r="C51" i="7"/>
  <c r="C52" i="7"/>
  <c r="C53" i="7"/>
  <c r="C54" i="7"/>
  <c r="C55" i="7"/>
  <c r="C67" i="7"/>
  <c r="C68" i="7"/>
  <c r="C71" i="7"/>
  <c r="C74" i="7"/>
  <c r="C75" i="7"/>
  <c r="C76" i="7"/>
  <c r="C79" i="7"/>
  <c r="C80" i="7"/>
  <c r="C81" i="7"/>
  <c r="C5" i="8"/>
  <c r="C13" i="8"/>
  <c r="C20" i="8"/>
  <c r="C21" i="8"/>
  <c r="C24" i="8"/>
  <c r="C33" i="8"/>
  <c r="C34" i="8"/>
  <c r="C35" i="8"/>
  <c r="C40" i="8"/>
  <c r="C41" i="8"/>
  <c r="C42" i="8"/>
  <c r="C43" i="8"/>
  <c r="C44" i="8"/>
  <c r="C45" i="8"/>
  <c r="C48" i="8"/>
  <c r="C49" i="8"/>
  <c r="C58" i="8"/>
  <c r="C59" i="8"/>
  <c r="C60" i="8"/>
  <c r="C61" i="8"/>
  <c r="C62" i="8"/>
  <c r="C63" i="8"/>
  <c r="C64" i="8"/>
  <c r="C65" i="8"/>
  <c r="C66" i="8"/>
  <c r="C69" i="8"/>
  <c r="C70" i="8"/>
  <c r="C74" i="8"/>
  <c r="C75" i="8"/>
  <c r="C76" i="8"/>
  <c r="C78" i="8"/>
  <c r="C81" i="8"/>
  <c r="C82" i="8"/>
  <c r="C83" i="8"/>
  <c r="C84" i="8"/>
  <c r="C85" i="8"/>
  <c r="C86" i="8"/>
  <c r="C87" i="8"/>
  <c r="C90" i="8"/>
  <c r="C91" i="8"/>
  <c r="C92" i="8"/>
  <c r="C93" i="8"/>
  <c r="C94" i="8"/>
  <c r="C14" i="9"/>
  <c r="C17" i="9"/>
  <c r="C18" i="9"/>
  <c r="C19" i="9"/>
  <c r="C20" i="9"/>
  <c r="C21" i="9"/>
  <c r="C25" i="9"/>
  <c r="C26" i="9"/>
  <c r="C27" i="9"/>
  <c r="C28" i="9"/>
  <c r="C31" i="9"/>
  <c r="C32" i="9"/>
  <c r="C33" i="9"/>
  <c r="C34" i="9"/>
  <c r="C35" i="9"/>
  <c r="C36" i="9"/>
  <c r="C39" i="9"/>
  <c r="C52" i="9"/>
  <c r="C53" i="9"/>
  <c r="C54" i="9"/>
  <c r="C57" i="9"/>
  <c r="C58" i="9"/>
  <c r="C59" i="9"/>
  <c r="C62" i="9"/>
  <c r="C63" i="9"/>
  <c r="C64" i="9"/>
  <c r="C65" i="9"/>
  <c r="C66" i="9"/>
  <c r="C69" i="9"/>
  <c r="C70" i="9"/>
  <c r="C73" i="9"/>
  <c r="C74" i="9"/>
  <c r="C75" i="9"/>
  <c r="C76" i="9"/>
  <c r="C79" i="9"/>
  <c r="C80" i="9"/>
  <c r="C81" i="9"/>
  <c r="C82" i="9"/>
  <c r="L14" i="4" a="1"/>
  <c r="L14" i="4" s="1"/>
  <c r="L14" i="9" a="1"/>
  <c r="L14" i="9" s="1"/>
  <c r="L13" i="9" a="1"/>
  <c r="L13" i="9" s="1"/>
  <c r="L12" i="9" a="1"/>
  <c r="L12" i="9" s="1"/>
  <c r="K12" i="9" s="1" a="1"/>
  <c r="K12" i="9" s="1"/>
  <c r="L7" i="9" a="1"/>
  <c r="L7" i="9" s="1"/>
  <c r="L6" i="9" a="1"/>
  <c r="L6" i="9" s="1"/>
  <c r="L14" i="8" a="1"/>
  <c r="L14" i="8" s="1"/>
  <c r="L13" i="8" a="1"/>
  <c r="L13" i="8" s="1"/>
  <c r="L12" i="8" a="1"/>
  <c r="L12" i="8" s="1"/>
  <c r="K12" i="8" s="1" a="1"/>
  <c r="K12" i="8" s="1"/>
  <c r="L6" i="8" a="1"/>
  <c r="L6" i="8" s="1"/>
  <c r="L13" i="7" a="1"/>
  <c r="L13" i="7" s="1"/>
  <c r="L12" i="7" a="1"/>
  <c r="L12" i="7" s="1"/>
  <c r="L11" i="7" a="1"/>
  <c r="L11" i="7" s="1"/>
  <c r="L7" i="7" a="1"/>
  <c r="L7" i="7" s="1"/>
  <c r="L6" i="7" a="1"/>
  <c r="L6" i="7" s="1"/>
  <c r="J6" i="7" s="1" a="1"/>
  <c r="J6" i="7" s="1"/>
  <c r="L13" i="6" a="1"/>
  <c r="L13" i="6" s="1"/>
  <c r="L12" i="6" a="1"/>
  <c r="L12" i="6" s="1"/>
  <c r="L11" i="6" a="1"/>
  <c r="L11" i="6" s="1"/>
  <c r="L7" i="6" a="1"/>
  <c r="L7" i="6" s="1"/>
  <c r="L6" i="6" a="1"/>
  <c r="L6" i="6" s="1"/>
  <c r="L13" i="5" a="1"/>
  <c r="L13" i="5" s="1"/>
  <c r="L12" i="5" a="1"/>
  <c r="L12" i="5" s="1"/>
  <c r="L11" i="5" a="1"/>
  <c r="L11" i="5" s="1"/>
  <c r="L7" i="5" a="1"/>
  <c r="L7" i="5" s="1"/>
  <c r="L6" i="5" a="1"/>
  <c r="L6" i="5" s="1"/>
  <c r="L8" i="5" s="1" a="1"/>
  <c r="L8" i="5" s="1"/>
  <c r="L13" i="4" a="1"/>
  <c r="L13" i="4" s="1"/>
  <c r="L12" i="4" a="1"/>
  <c r="L12" i="4" s="1"/>
  <c r="L11" i="4" a="1"/>
  <c r="L11" i="4" s="1"/>
  <c r="L7" i="4" a="1"/>
  <c r="L7" i="4" s="1"/>
  <c r="L6" i="4" a="1"/>
  <c r="L6" i="4" s="1"/>
  <c r="L13" i="2" a="1"/>
  <c r="L13" i="2" s="1"/>
  <c r="L12" i="2" a="1"/>
  <c r="L12" i="2" s="1"/>
  <c r="L11" i="2" a="1"/>
  <c r="L11" i="2" s="1"/>
  <c r="L6" i="2" a="1"/>
  <c r="L6" i="2" s="1"/>
  <c r="L7" i="2" a="1"/>
  <c r="L7" i="2" s="1"/>
  <c r="U13" i="9"/>
  <c r="O13" i="9"/>
  <c r="U12" i="9"/>
  <c r="O12" i="9"/>
  <c r="O11" i="9"/>
  <c r="U10" i="9"/>
  <c r="O10" i="9"/>
  <c r="U9" i="9"/>
  <c r="O9" i="9"/>
  <c r="U8" i="9"/>
  <c r="O8" i="9"/>
  <c r="U7" i="9"/>
  <c r="O7" i="9"/>
  <c r="O13" i="8"/>
  <c r="O12" i="8"/>
  <c r="U11" i="8"/>
  <c r="O11" i="8"/>
  <c r="U10" i="8"/>
  <c r="O10" i="8"/>
  <c r="U9" i="8"/>
  <c r="O9" i="8"/>
  <c r="U8" i="8"/>
  <c r="O8" i="8"/>
  <c r="U7" i="8"/>
  <c r="O7" i="8"/>
  <c r="U13" i="7"/>
  <c r="O13" i="7"/>
  <c r="U12" i="7"/>
  <c r="O12" i="7"/>
  <c r="U11" i="7"/>
  <c r="O11" i="7"/>
  <c r="U10" i="7"/>
  <c r="O10" i="7"/>
  <c r="U9" i="7"/>
  <c r="O9" i="7"/>
  <c r="U8" i="7"/>
  <c r="O8" i="7"/>
  <c r="O7" i="7"/>
  <c r="U7" i="7"/>
  <c r="U13" i="6"/>
  <c r="O13" i="6"/>
  <c r="U12" i="6"/>
  <c r="O12" i="6"/>
  <c r="U11" i="6"/>
  <c r="O11" i="6"/>
  <c r="U10" i="6"/>
  <c r="O10" i="6"/>
  <c r="U9" i="6"/>
  <c r="O9" i="6"/>
  <c r="U8" i="6"/>
  <c r="O8" i="6"/>
  <c r="U7" i="6"/>
  <c r="O7" i="6"/>
  <c r="U13" i="5"/>
  <c r="O13" i="5"/>
  <c r="U12" i="5"/>
  <c r="O12" i="5"/>
  <c r="U11" i="5"/>
  <c r="O11" i="5"/>
  <c r="U10" i="5"/>
  <c r="O10" i="5"/>
  <c r="U9" i="5"/>
  <c r="O9" i="5"/>
  <c r="U8" i="5"/>
  <c r="O8" i="5"/>
  <c r="U7" i="5"/>
  <c r="O7" i="5"/>
  <c r="U13" i="4"/>
  <c r="O9" i="4"/>
  <c r="O11" i="4"/>
  <c r="O10" i="4"/>
  <c r="O13" i="4"/>
  <c r="U12" i="4"/>
  <c r="O12" i="4"/>
  <c r="U11" i="4"/>
  <c r="O8" i="4"/>
  <c r="U10" i="4"/>
  <c r="O7" i="4"/>
  <c r="U9" i="4"/>
  <c r="U8" i="4"/>
  <c r="U7" i="4"/>
  <c r="O13" i="2"/>
  <c r="O8" i="2"/>
  <c r="U8" i="2"/>
  <c r="O7" i="2"/>
  <c r="U9" i="2"/>
  <c r="O12" i="2"/>
  <c r="U10" i="2"/>
  <c r="O11" i="2"/>
  <c r="U11" i="2"/>
  <c r="U12" i="2"/>
  <c r="O9" i="2"/>
  <c r="U13" i="2"/>
  <c r="U7" i="2"/>
  <c r="O10" i="2"/>
  <c r="K82" i="10" l="1"/>
  <c r="K95" i="10"/>
  <c r="K92" i="10"/>
  <c r="K70" i="10"/>
  <c r="K100" i="10"/>
  <c r="K93" i="10"/>
  <c r="K85" i="10"/>
  <c r="K77" i="10"/>
  <c r="K81" i="10"/>
  <c r="K73" i="10"/>
  <c r="K98" i="10"/>
  <c r="K78" i="10"/>
  <c r="K91" i="10"/>
  <c r="K90" i="10"/>
  <c r="K71" i="10"/>
  <c r="K96" i="10"/>
  <c r="K80" i="10"/>
  <c r="K87" i="10"/>
  <c r="K97" i="10"/>
  <c r="K89" i="10"/>
  <c r="K76" i="10"/>
  <c r="K86" i="10"/>
  <c r="K75" i="10"/>
  <c r="K79" i="10"/>
  <c r="K72" i="10"/>
  <c r="K74" i="10"/>
  <c r="K68" i="10"/>
  <c r="K84" i="10"/>
  <c r="K99" i="10"/>
  <c r="K69" i="10"/>
  <c r="K94" i="10"/>
  <c r="K88" i="10"/>
  <c r="K7" i="10"/>
  <c r="K11" i="10"/>
  <c r="K13" i="10"/>
  <c r="K39" i="10"/>
  <c r="K18" i="10"/>
  <c r="K14" i="10"/>
  <c r="K6" i="10"/>
  <c r="K55" i="10"/>
  <c r="K54" i="10"/>
  <c r="K27" i="10"/>
  <c r="K9" i="10"/>
  <c r="K50" i="10"/>
  <c r="K59" i="10"/>
  <c r="K30" i="10"/>
  <c r="K41" i="10"/>
  <c r="K36" i="10"/>
  <c r="K44" i="10"/>
  <c r="K49" i="10"/>
  <c r="K35" i="10"/>
  <c r="K46" i="10"/>
  <c r="K57" i="10"/>
  <c r="K37" i="10"/>
  <c r="K24" i="10"/>
  <c r="K29" i="10"/>
  <c r="K19" i="10"/>
  <c r="K8" i="10"/>
  <c r="K22" i="10"/>
  <c r="K21" i="10"/>
  <c r="K12" i="10"/>
  <c r="K34" i="10"/>
  <c r="K64" i="10"/>
  <c r="K56" i="10"/>
  <c r="K26" i="10"/>
  <c r="K16" i="10"/>
  <c r="K47" i="10"/>
  <c r="K33" i="10"/>
  <c r="K25" i="10"/>
  <c r="K31" i="10"/>
  <c r="K5" i="10"/>
  <c r="K32" i="10"/>
  <c r="K28" i="10"/>
  <c r="K15" i="10"/>
  <c r="K61" i="10"/>
  <c r="K52" i="10"/>
  <c r="K53" i="10"/>
  <c r="K20" i="10"/>
  <c r="K62" i="10"/>
  <c r="K48" i="10"/>
  <c r="K51" i="10"/>
  <c r="K45" i="10"/>
  <c r="K43" i="10"/>
  <c r="K10" i="10"/>
  <c r="K63" i="10"/>
  <c r="K40" i="10"/>
  <c r="K58" i="10"/>
  <c r="K17" i="10"/>
  <c r="K60" i="10"/>
  <c r="K38" i="10"/>
  <c r="K6" i="9" a="1"/>
  <c r="K6" i="9" s="1"/>
  <c r="K23" i="10"/>
  <c r="I44" i="10"/>
  <c r="I38" i="10"/>
  <c r="I42" i="10"/>
  <c r="J27" i="10"/>
  <c r="J9" i="10"/>
  <c r="J42" i="10"/>
  <c r="J44" i="10"/>
  <c r="J32" i="10"/>
  <c r="J38" i="10"/>
  <c r="J50" i="10"/>
  <c r="J40" i="10"/>
  <c r="J89" i="10"/>
  <c r="J94" i="10"/>
  <c r="J31" i="10"/>
  <c r="J28" i="10"/>
  <c r="J60" i="10"/>
  <c r="J82" i="10"/>
  <c r="J58" i="10"/>
  <c r="J71" i="10"/>
  <c r="J84" i="10"/>
  <c r="J54" i="10"/>
  <c r="J12" i="10"/>
  <c r="J49" i="10"/>
  <c r="J91" i="10"/>
  <c r="J72" i="10"/>
  <c r="J90" i="10"/>
  <c r="J85" i="10"/>
  <c r="J79" i="10"/>
  <c r="J5" i="10"/>
  <c r="J20" i="10"/>
  <c r="J25" i="10"/>
  <c r="J30" i="10"/>
  <c r="J37" i="10"/>
  <c r="J24" i="10"/>
  <c r="J48" i="10"/>
  <c r="J47" i="10"/>
  <c r="J21" i="10"/>
  <c r="J36" i="10"/>
  <c r="J64" i="10"/>
  <c r="J74" i="10"/>
  <c r="J100" i="10"/>
  <c r="J73" i="10"/>
  <c r="J97" i="10"/>
  <c r="J98" i="10"/>
  <c r="J10" i="10"/>
  <c r="J14" i="10"/>
  <c r="J8" i="10"/>
  <c r="J17" i="10"/>
  <c r="J52" i="10"/>
  <c r="J19" i="10"/>
  <c r="J29" i="10"/>
  <c r="J55" i="10"/>
  <c r="J61" i="10"/>
  <c r="J70" i="10"/>
  <c r="J76" i="10"/>
  <c r="J75" i="10"/>
  <c r="J93" i="10"/>
  <c r="J95" i="10"/>
  <c r="J80" i="10"/>
  <c r="J15" i="10"/>
  <c r="J26" i="10"/>
  <c r="J35" i="10"/>
  <c r="J13" i="10"/>
  <c r="J22" i="10"/>
  <c r="J59" i="10"/>
  <c r="J51" i="10"/>
  <c r="J63" i="10"/>
  <c r="J39" i="10"/>
  <c r="J68" i="10"/>
  <c r="J86" i="10"/>
  <c r="J81" i="10"/>
  <c r="J77" i="10"/>
  <c r="J83" i="10"/>
  <c r="J96" i="10"/>
  <c r="J6" i="10"/>
  <c r="J16" i="10"/>
  <c r="J46" i="10"/>
  <c r="J33" i="10"/>
  <c r="J23" i="10"/>
  <c r="J18" i="10"/>
  <c r="J41" i="10"/>
  <c r="J45" i="10"/>
  <c r="J57" i="10"/>
  <c r="J53" i="10"/>
  <c r="J69" i="10"/>
  <c r="J56" i="10"/>
  <c r="J34" i="10"/>
  <c r="I40" i="10"/>
  <c r="I50" i="10"/>
  <c r="I27" i="10"/>
  <c r="I31" i="10"/>
  <c r="I28" i="10"/>
  <c r="I60" i="10"/>
  <c r="I54" i="10"/>
  <c r="I43" i="10"/>
  <c r="I12" i="10"/>
  <c r="I82" i="10"/>
  <c r="I58" i="10"/>
  <c r="I49" i="10"/>
  <c r="I10" i="10"/>
  <c r="I14" i="10"/>
  <c r="I8" i="10"/>
  <c r="I17" i="10"/>
  <c r="I52" i="10"/>
  <c r="I19" i="10"/>
  <c r="I29" i="10"/>
  <c r="I59" i="10"/>
  <c r="I51" i="10"/>
  <c r="I63" i="10"/>
  <c r="I39" i="10"/>
  <c r="I15" i="10"/>
  <c r="I26" i="10"/>
  <c r="I35" i="10"/>
  <c r="I13" i="10"/>
  <c r="I41" i="10"/>
  <c r="I45" i="10"/>
  <c r="I57" i="10"/>
  <c r="I53" i="10"/>
  <c r="I6" i="10"/>
  <c r="I16" i="10"/>
  <c r="I46" i="10"/>
  <c r="I33" i="10"/>
  <c r="I23" i="10"/>
  <c r="I18" i="10"/>
  <c r="I21" i="10"/>
  <c r="I36" i="10"/>
  <c r="I64" i="10"/>
  <c r="I5" i="10"/>
  <c r="I20" i="10"/>
  <c r="I25" i="10"/>
  <c r="I30" i="10"/>
  <c r="I37" i="10"/>
  <c r="I24" i="10"/>
  <c r="I48" i="10"/>
  <c r="I47" i="10"/>
  <c r="I55" i="10"/>
  <c r="I61" i="10"/>
  <c r="I34" i="10"/>
  <c r="I56" i="10"/>
  <c r="P9" i="6"/>
  <c r="F12" i="3" s="1"/>
  <c r="H89" i="10"/>
  <c r="H50" i="10"/>
  <c r="H27" i="10"/>
  <c r="H31" i="10"/>
  <c r="H87" i="10"/>
  <c r="H60" i="10"/>
  <c r="H28" i="10"/>
  <c r="H82" i="10"/>
  <c r="H54" i="10"/>
  <c r="H58" i="10"/>
  <c r="H71" i="10"/>
  <c r="H84" i="10"/>
  <c r="H43" i="10"/>
  <c r="H12" i="10"/>
  <c r="H49" i="10"/>
  <c r="H18" i="10"/>
  <c r="H41" i="10"/>
  <c r="H45" i="10"/>
  <c r="H57" i="10"/>
  <c r="H11" i="10"/>
  <c r="H7" i="10"/>
  <c r="H8" i="10"/>
  <c r="H30" i="10"/>
  <c r="H37" i="10"/>
  <c r="H24" i="10"/>
  <c r="H21" i="10"/>
  <c r="H15" i="10"/>
  <c r="H53" i="10"/>
  <c r="H29" i="10"/>
  <c r="H55" i="10"/>
  <c r="H5" i="10"/>
  <c r="H20" i="10"/>
  <c r="H32" i="10"/>
  <c r="H9" i="10"/>
  <c r="H26" i="10"/>
  <c r="H35" i="10"/>
  <c r="H39" i="10"/>
  <c r="H48" i="10"/>
  <c r="H36" i="10"/>
  <c r="H6" i="10"/>
  <c r="H17" i="10"/>
  <c r="H19" i="10"/>
  <c r="H64" i="10"/>
  <c r="H13" i="10"/>
  <c r="H22" i="10"/>
  <c r="H59" i="10"/>
  <c r="H51" i="10"/>
  <c r="H63" i="10"/>
  <c r="H10" i="10"/>
  <c r="H14" i="10"/>
  <c r="H25" i="10"/>
  <c r="H46" i="10"/>
  <c r="H33" i="10"/>
  <c r="H23" i="10"/>
  <c r="H47" i="10"/>
  <c r="H16" i="10"/>
  <c r="H52" i="10"/>
  <c r="H96" i="10"/>
  <c r="H83" i="10"/>
  <c r="H77" i="10"/>
  <c r="H81" i="10"/>
  <c r="H86" i="10"/>
  <c r="H78" i="10"/>
  <c r="H68" i="10"/>
  <c r="H34" i="10"/>
  <c r="H80" i="10"/>
  <c r="H93" i="10"/>
  <c r="H92" i="10"/>
  <c r="H56" i="10"/>
  <c r="H98" i="10"/>
  <c r="H97" i="10"/>
  <c r="H73" i="10"/>
  <c r="H100" i="10"/>
  <c r="H74" i="10"/>
  <c r="H69" i="10"/>
  <c r="H95" i="10"/>
  <c r="H76" i="10"/>
  <c r="H61" i="10"/>
  <c r="H79" i="10"/>
  <c r="H85" i="10"/>
  <c r="H90" i="10"/>
  <c r="H72" i="10"/>
  <c r="H91" i="10"/>
  <c r="H75" i="10"/>
  <c r="H70" i="10"/>
  <c r="E50" i="10"/>
  <c r="E89" i="10"/>
  <c r="E31" i="10"/>
  <c r="E27" i="10"/>
  <c r="E60" i="10"/>
  <c r="E28" i="10"/>
  <c r="E84" i="10"/>
  <c r="E87" i="10"/>
  <c r="E82" i="10"/>
  <c r="E12" i="10"/>
  <c r="E71" i="10"/>
  <c r="E58" i="10"/>
  <c r="E54" i="10"/>
  <c r="E43" i="10"/>
  <c r="E49" i="10"/>
  <c r="G89" i="10"/>
  <c r="G27" i="10"/>
  <c r="G50" i="10"/>
  <c r="G31" i="10"/>
  <c r="P13" i="5"/>
  <c r="E11" i="3" s="1"/>
  <c r="P7" i="5"/>
  <c r="E6" i="3" s="1"/>
  <c r="P9" i="5"/>
  <c r="E12" i="3" s="1"/>
  <c r="G28" i="10"/>
  <c r="G60" i="10"/>
  <c r="G87" i="10"/>
  <c r="G58" i="10"/>
  <c r="G84" i="10"/>
  <c r="G12" i="10"/>
  <c r="G54" i="10"/>
  <c r="G43" i="10"/>
  <c r="G82" i="10"/>
  <c r="G49" i="10"/>
  <c r="G64" i="10"/>
  <c r="G36" i="10"/>
  <c r="G21" i="10"/>
  <c r="G47" i="10"/>
  <c r="G48" i="10"/>
  <c r="G24" i="10"/>
  <c r="G37" i="10"/>
  <c r="G30" i="10"/>
  <c r="G8" i="10"/>
  <c r="G7" i="10"/>
  <c r="G11" i="10"/>
  <c r="G96" i="10"/>
  <c r="G98" i="10"/>
  <c r="G97" i="10"/>
  <c r="G81" i="10"/>
  <c r="G68" i="10"/>
  <c r="G57" i="10"/>
  <c r="G45" i="10"/>
  <c r="G18" i="10"/>
  <c r="G46" i="10"/>
  <c r="G61" i="10"/>
  <c r="G39" i="10"/>
  <c r="G63" i="10"/>
  <c r="G51" i="10"/>
  <c r="G59" i="10"/>
  <c r="G22" i="10"/>
  <c r="G13" i="10"/>
  <c r="G35" i="10"/>
  <c r="G26" i="10"/>
  <c r="G9" i="10"/>
  <c r="G32" i="10"/>
  <c r="G20" i="10"/>
  <c r="G5" i="10"/>
  <c r="G91" i="10"/>
  <c r="G56" i="10"/>
  <c r="G29" i="10"/>
  <c r="G52" i="10"/>
  <c r="G15" i="10"/>
  <c r="G6" i="10"/>
  <c r="G77" i="10"/>
  <c r="G100" i="10"/>
  <c r="G78" i="10"/>
  <c r="G74" i="10"/>
  <c r="G41" i="10"/>
  <c r="G23" i="10"/>
  <c r="G25" i="10"/>
  <c r="G10" i="10"/>
  <c r="G80" i="10"/>
  <c r="G95" i="10"/>
  <c r="G93" i="10"/>
  <c r="G79" i="10"/>
  <c r="G92" i="10"/>
  <c r="G85" i="10"/>
  <c r="G75" i="10"/>
  <c r="G90" i="10"/>
  <c r="G76" i="10"/>
  <c r="G72" i="10"/>
  <c r="G70" i="10"/>
  <c r="G69" i="10"/>
  <c r="G34" i="10"/>
  <c r="G55" i="10"/>
  <c r="G19" i="10"/>
  <c r="G17" i="10"/>
  <c r="G16" i="10"/>
  <c r="G83" i="10"/>
  <c r="G73" i="10"/>
  <c r="G86" i="10"/>
  <c r="G53" i="10"/>
  <c r="G33" i="10"/>
  <c r="G14" i="10"/>
  <c r="F60" i="10"/>
  <c r="F87" i="10"/>
  <c r="F28" i="10"/>
  <c r="P12" i="4"/>
  <c r="D8" i="3" s="1"/>
  <c r="P9" i="4"/>
  <c r="D12" i="3" s="1"/>
  <c r="F43" i="10"/>
  <c r="F58" i="10"/>
  <c r="F82" i="10"/>
  <c r="F84" i="10"/>
  <c r="F71" i="10"/>
  <c r="F54" i="10"/>
  <c r="F12" i="10"/>
  <c r="F49" i="10"/>
  <c r="P9" i="2"/>
  <c r="C12" i="3" s="1"/>
  <c r="P13" i="6"/>
  <c r="F11" i="3" s="1"/>
  <c r="P10" i="5"/>
  <c r="E9" i="3" s="1"/>
  <c r="P8" i="5"/>
  <c r="E7" i="3" s="1"/>
  <c r="P12" i="6"/>
  <c r="F8" i="3" s="1"/>
  <c r="P11" i="6"/>
  <c r="F10" i="3" s="1"/>
  <c r="P10" i="6"/>
  <c r="F9" i="3" s="1"/>
  <c r="F81" i="10"/>
  <c r="F92" i="10"/>
  <c r="F85" i="10"/>
  <c r="F75" i="10"/>
  <c r="F69" i="10"/>
  <c r="F34" i="10"/>
  <c r="F64" i="10"/>
  <c r="F57" i="10"/>
  <c r="F36" i="10"/>
  <c r="F59" i="10"/>
  <c r="F21" i="10"/>
  <c r="F22" i="10"/>
  <c r="F47" i="10"/>
  <c r="F29" i="10"/>
  <c r="F18" i="10"/>
  <c r="F19" i="10"/>
  <c r="F23" i="10"/>
  <c r="F37" i="10"/>
  <c r="F26" i="10"/>
  <c r="F30" i="10"/>
  <c r="F9" i="10"/>
  <c r="F8" i="10"/>
  <c r="F32" i="10"/>
  <c r="F48" i="10"/>
  <c r="F96" i="10"/>
  <c r="F98" i="10"/>
  <c r="F83" i="10"/>
  <c r="F97" i="10"/>
  <c r="F77" i="10"/>
  <c r="F73" i="10"/>
  <c r="F78" i="10"/>
  <c r="F68" i="10"/>
  <c r="F74" i="10"/>
  <c r="F51" i="10"/>
  <c r="F14" i="10"/>
  <c r="F6" i="10"/>
  <c r="F100" i="10"/>
  <c r="F86" i="10"/>
  <c r="F56" i="10"/>
  <c r="F61" i="10"/>
  <c r="F53" i="10"/>
  <c r="F55" i="10"/>
  <c r="F24" i="10"/>
  <c r="F35" i="10"/>
  <c r="F33" i="10"/>
  <c r="F46" i="10"/>
  <c r="F25" i="10"/>
  <c r="F80" i="10"/>
  <c r="F95" i="10"/>
  <c r="F93" i="10"/>
  <c r="F79" i="10"/>
  <c r="F76" i="10"/>
  <c r="F70" i="10"/>
  <c r="F91" i="10"/>
  <c r="F7" i="10"/>
  <c r="F5" i="10"/>
  <c r="F39" i="10"/>
  <c r="F63" i="10"/>
  <c r="F45" i="10"/>
  <c r="F41" i="10"/>
  <c r="F13" i="10"/>
  <c r="F52" i="10"/>
  <c r="F17" i="10"/>
  <c r="F15" i="10"/>
  <c r="F16" i="10"/>
  <c r="F10" i="10"/>
  <c r="F90" i="10"/>
  <c r="F72" i="10"/>
  <c r="F20" i="10"/>
  <c r="P8" i="6"/>
  <c r="F7" i="3" s="1"/>
  <c r="J6" i="6" a="1"/>
  <c r="J6" i="6" s="1"/>
  <c r="K6" i="6" a="1"/>
  <c r="K6" i="6" s="1"/>
  <c r="J11" i="6" a="1"/>
  <c r="J11" i="6" s="1"/>
  <c r="J12" i="6" s="1" a="1"/>
  <c r="J12" i="6" s="1"/>
  <c r="J13" i="6" s="1" a="1"/>
  <c r="J13" i="6" s="1"/>
  <c r="K11" i="6" a="1"/>
  <c r="K11" i="6" s="1"/>
  <c r="K12" i="6" s="1" a="1"/>
  <c r="K12" i="6" s="1"/>
  <c r="K13" i="6" s="1" a="1"/>
  <c r="K13" i="6" s="1"/>
  <c r="P7" i="6"/>
  <c r="F6" i="3" s="1"/>
  <c r="P12" i="5"/>
  <c r="E8" i="3" s="1"/>
  <c r="P11" i="5"/>
  <c r="E10" i="3" s="1"/>
  <c r="J6" i="5" a="1"/>
  <c r="J6" i="5" s="1"/>
  <c r="J7" i="5" s="1" a="1"/>
  <c r="J7" i="5" s="1"/>
  <c r="K6" i="5" a="1"/>
  <c r="K6" i="5" s="1"/>
  <c r="K7" i="5" s="1" a="1"/>
  <c r="K7" i="5" s="1"/>
  <c r="J11" i="5" a="1"/>
  <c r="J11" i="5" s="1"/>
  <c r="J12" i="5" s="1" a="1"/>
  <c r="J12" i="5" s="1"/>
  <c r="J13" i="5" s="1" a="1"/>
  <c r="J13" i="5" s="1"/>
  <c r="K11" i="5" a="1"/>
  <c r="K11" i="5" s="1"/>
  <c r="K12" i="5" s="1" a="1"/>
  <c r="K12" i="5" s="1"/>
  <c r="K13" i="5" s="1" a="1"/>
  <c r="K13" i="5" s="1"/>
  <c r="P13" i="4"/>
  <c r="D11" i="3" s="1"/>
  <c r="P11" i="4"/>
  <c r="D10" i="3" s="1"/>
  <c r="P10" i="4"/>
  <c r="D9" i="3" s="1"/>
  <c r="P8" i="4"/>
  <c r="D7" i="3" s="1"/>
  <c r="P7" i="4"/>
  <c r="J6" i="4" a="1"/>
  <c r="J6" i="4" s="1"/>
  <c r="J7" i="4" s="1" a="1"/>
  <c r="J7" i="4" s="1"/>
  <c r="K6" i="4" a="1"/>
  <c r="K6" i="4" s="1"/>
  <c r="K7" i="4" s="1" a="1"/>
  <c r="K7" i="4" s="1"/>
  <c r="J11" i="4" a="1"/>
  <c r="J11" i="4" s="1"/>
  <c r="J12" i="4" s="1" a="1"/>
  <c r="J12" i="4" s="1"/>
  <c r="J13" i="4" s="1" a="1"/>
  <c r="J13" i="4" s="1"/>
  <c r="K11" i="4" a="1"/>
  <c r="K11" i="4" s="1"/>
  <c r="K12" i="4" s="1" a="1"/>
  <c r="K12" i="4" s="1"/>
  <c r="K13" i="4" s="1" a="1"/>
  <c r="K13" i="4" s="1"/>
  <c r="E98" i="10"/>
  <c r="E97" i="10"/>
  <c r="E73" i="10"/>
  <c r="E86" i="10"/>
  <c r="E90" i="10"/>
  <c r="E72" i="10"/>
  <c r="E91" i="10"/>
  <c r="E34" i="10"/>
  <c r="E64" i="10"/>
  <c r="E55" i="10"/>
  <c r="E13" i="10"/>
  <c r="E35" i="10"/>
  <c r="E37" i="10"/>
  <c r="E30" i="10"/>
  <c r="E8" i="10"/>
  <c r="E6" i="10"/>
  <c r="E80" i="10"/>
  <c r="E95" i="10"/>
  <c r="E93" i="10"/>
  <c r="E81" i="10"/>
  <c r="E85" i="10"/>
  <c r="E74" i="10"/>
  <c r="E56" i="10"/>
  <c r="E61" i="10"/>
  <c r="E39" i="10"/>
  <c r="E63" i="10"/>
  <c r="E59" i="10"/>
  <c r="E22" i="10"/>
  <c r="E18" i="10"/>
  <c r="E23" i="10"/>
  <c r="E52" i="10"/>
  <c r="E17" i="10"/>
  <c r="E15" i="10"/>
  <c r="E16" i="10"/>
  <c r="E20" i="10"/>
  <c r="E5" i="10"/>
  <c r="E96" i="10"/>
  <c r="E83" i="10"/>
  <c r="E77" i="10"/>
  <c r="E100" i="10"/>
  <c r="E76" i="10"/>
  <c r="E70" i="10"/>
  <c r="E69" i="10"/>
  <c r="E57" i="10"/>
  <c r="E51" i="10"/>
  <c r="E45" i="10"/>
  <c r="E41" i="10"/>
  <c r="E48" i="10"/>
  <c r="E24" i="10"/>
  <c r="E26" i="10"/>
  <c r="E9" i="10"/>
  <c r="E32" i="10"/>
  <c r="E14" i="10"/>
  <c r="E79" i="10"/>
  <c r="E92" i="10"/>
  <c r="E75" i="10"/>
  <c r="E78" i="10"/>
  <c r="E68" i="10"/>
  <c r="E53" i="10"/>
  <c r="E36" i="10"/>
  <c r="E21" i="10"/>
  <c r="E47" i="10"/>
  <c r="E29" i="10"/>
  <c r="E19" i="10"/>
  <c r="E33" i="10"/>
  <c r="E46" i="10"/>
  <c r="E25" i="10"/>
  <c r="E7" i="10"/>
  <c r="E10" i="10"/>
  <c r="P13" i="2"/>
  <c r="C11" i="3" s="1"/>
  <c r="P12" i="2"/>
  <c r="C8" i="3" s="1"/>
  <c r="P11" i="2"/>
  <c r="C10" i="3" s="1"/>
  <c r="P10" i="2"/>
  <c r="C9" i="3" s="1"/>
  <c r="P8" i="2"/>
  <c r="C7" i="3" s="1"/>
  <c r="P7" i="2"/>
  <c r="C6" i="3" s="1"/>
  <c r="J6" i="2" a="1"/>
  <c r="J6" i="2" s="1"/>
  <c r="J7" i="2" s="1" a="1"/>
  <c r="J7" i="2" s="1"/>
  <c r="K6" i="2" a="1"/>
  <c r="K6" i="2" s="1"/>
  <c r="K7" i="2" s="1" a="1"/>
  <c r="K7" i="2" s="1"/>
  <c r="K11" i="2" a="1"/>
  <c r="K11" i="2" s="1"/>
  <c r="K12" i="2" s="1" a="1"/>
  <c r="K12" i="2" s="1"/>
  <c r="K13" i="2" s="1" a="1"/>
  <c r="K13" i="2" s="1"/>
  <c r="J11" i="2" a="1"/>
  <c r="J11" i="2" s="1"/>
  <c r="J12" i="9" a="1"/>
  <c r="J12" i="9" s="1"/>
  <c r="J13" i="9" s="1" a="1"/>
  <c r="J13" i="9" s="1"/>
  <c r="J14" i="9" s="1" a="1"/>
  <c r="J14" i="9" s="1"/>
  <c r="P13" i="9"/>
  <c r="I11" i="3" s="1"/>
  <c r="P10" i="9"/>
  <c r="I9" i="3" s="1"/>
  <c r="P8" i="9"/>
  <c r="I7" i="3" s="1"/>
  <c r="J6" i="9" a="1"/>
  <c r="J6" i="9" s="1"/>
  <c r="P12" i="9"/>
  <c r="P9" i="9"/>
  <c r="P7" i="9"/>
  <c r="P11" i="9"/>
  <c r="P8" i="8"/>
  <c r="H7" i="3" s="1"/>
  <c r="J6" i="8" a="1"/>
  <c r="J6" i="8" s="1"/>
  <c r="K8" i="8" a="1"/>
  <c r="K8" i="8" s="1"/>
  <c r="J12" i="8" a="1"/>
  <c r="J12" i="8" s="1"/>
  <c r="J13" i="8" s="1" a="1"/>
  <c r="J13" i="8" s="1"/>
  <c r="J14" i="8" s="1" a="1"/>
  <c r="J14" i="8" s="1"/>
  <c r="P9" i="8"/>
  <c r="H12" i="3" s="1"/>
  <c r="P10" i="8"/>
  <c r="H9" i="3" s="1"/>
  <c r="K6" i="8" a="1"/>
  <c r="K6" i="8" s="1"/>
  <c r="P12" i="8"/>
  <c r="H8" i="3" s="1"/>
  <c r="P13" i="8"/>
  <c r="P7" i="8"/>
  <c r="P11" i="8"/>
  <c r="K13" i="9" a="1"/>
  <c r="K13" i="9" s="1"/>
  <c r="K13" i="8" a="1"/>
  <c r="K13" i="8" s="1"/>
  <c r="K14" i="8" s="1" a="1"/>
  <c r="K14" i="8" s="1"/>
  <c r="P8" i="7"/>
  <c r="G7" i="3" s="1"/>
  <c r="K6" i="7" a="1"/>
  <c r="K6" i="7" s="1"/>
  <c r="K7" i="7" s="1" a="1"/>
  <c r="K7" i="7" s="1"/>
  <c r="P12" i="7"/>
  <c r="G8" i="3" s="1"/>
  <c r="P9" i="7"/>
  <c r="G12" i="3" s="1"/>
  <c r="P13" i="7"/>
  <c r="G11" i="3" s="1"/>
  <c r="P11" i="7"/>
  <c r="G10" i="3" s="1"/>
  <c r="P7" i="7"/>
  <c r="G6" i="3" s="1"/>
  <c r="P10" i="7"/>
  <c r="J7" i="7" a="1"/>
  <c r="J7" i="7" s="1"/>
  <c r="K11" i="7" a="1"/>
  <c r="K11" i="7" s="1"/>
  <c r="K12" i="7" s="1" a="1"/>
  <c r="K12" i="7" s="1"/>
  <c r="K13" i="7" s="1" a="1"/>
  <c r="K13" i="7" s="1"/>
  <c r="J11" i="7" a="1"/>
  <c r="J11" i="7" s="1"/>
  <c r="L7" i="10" l="1"/>
  <c r="N99" i="10"/>
  <c r="M99" i="10"/>
  <c r="L99" i="10"/>
  <c r="N88" i="10"/>
  <c r="M88" i="10"/>
  <c r="L88" i="10"/>
  <c r="N62" i="10"/>
  <c r="M62" i="10"/>
  <c r="L62" i="10"/>
  <c r="L44" i="10"/>
  <c r="N44" i="10"/>
  <c r="M44" i="10"/>
  <c r="M42" i="10"/>
  <c r="L42" i="10"/>
  <c r="N42" i="10"/>
  <c r="M38" i="10"/>
  <c r="N38" i="10"/>
  <c r="L38" i="10"/>
  <c r="L94" i="10"/>
  <c r="N94" i="10"/>
  <c r="M94" i="10"/>
  <c r="M40" i="10"/>
  <c r="L40" i="10"/>
  <c r="N40" i="10"/>
  <c r="J7" i="6" a="1"/>
  <c r="J7" i="6" s="1"/>
  <c r="K7" i="6" a="1"/>
  <c r="K7" i="6" s="1"/>
  <c r="L89" i="10"/>
  <c r="N89" i="10"/>
  <c r="M89" i="10"/>
  <c r="N31" i="10"/>
  <c r="L31" i="10"/>
  <c r="M31" i="10"/>
  <c r="N50" i="10"/>
  <c r="M50" i="10"/>
  <c r="L50" i="10"/>
  <c r="M27" i="10"/>
  <c r="L27" i="10"/>
  <c r="N27" i="10"/>
  <c r="K8" i="5" a="1"/>
  <c r="K8" i="5" s="1"/>
  <c r="J8" i="5" a="1"/>
  <c r="J8" i="5" s="1"/>
  <c r="Q12" i="5"/>
  <c r="Q10" i="5"/>
  <c r="Q7" i="5"/>
  <c r="L28" i="10"/>
  <c r="M28" i="10"/>
  <c r="N28" i="10"/>
  <c r="M87" i="10"/>
  <c r="L87" i="10"/>
  <c r="N87" i="10"/>
  <c r="N60" i="10"/>
  <c r="L60" i="10"/>
  <c r="M60" i="10"/>
  <c r="L84" i="10"/>
  <c r="N84" i="10"/>
  <c r="M84" i="10"/>
  <c r="L12" i="10"/>
  <c r="M12" i="10"/>
  <c r="N12" i="10"/>
  <c r="L82" i="10"/>
  <c r="M82" i="10"/>
  <c r="N82" i="10"/>
  <c r="N54" i="10"/>
  <c r="L54" i="10"/>
  <c r="M54" i="10"/>
  <c r="L58" i="10"/>
  <c r="N58" i="10"/>
  <c r="M58" i="10"/>
  <c r="L49" i="10"/>
  <c r="N49" i="10"/>
  <c r="M49" i="10"/>
  <c r="N71" i="10"/>
  <c r="L71" i="10"/>
  <c r="M71" i="10"/>
  <c r="M43" i="10"/>
  <c r="N43" i="10"/>
  <c r="L43" i="10"/>
  <c r="Q11" i="4"/>
  <c r="Q7" i="6"/>
  <c r="Q8" i="6"/>
  <c r="Q11" i="6"/>
  <c r="Q9" i="6"/>
  <c r="Q10" i="6"/>
  <c r="Q12" i="6"/>
  <c r="Q13" i="6"/>
  <c r="Q9" i="5"/>
  <c r="Q8" i="5"/>
  <c r="Q11" i="5"/>
  <c r="Q13" i="5"/>
  <c r="Q9" i="4"/>
  <c r="Q13" i="4"/>
  <c r="D6" i="3"/>
  <c r="Q8" i="4"/>
  <c r="Q10" i="4"/>
  <c r="Q7" i="4"/>
  <c r="Q12" i="4"/>
  <c r="K14" i="4" a="1"/>
  <c r="K14" i="4" s="1"/>
  <c r="N7" i="10"/>
  <c r="M7" i="10"/>
  <c r="M19" i="10"/>
  <c r="N19" i="10"/>
  <c r="L19" i="10"/>
  <c r="M36" i="10"/>
  <c r="N36" i="10"/>
  <c r="L36" i="10"/>
  <c r="M53" i="10"/>
  <c r="L53" i="10"/>
  <c r="N53" i="10"/>
  <c r="M92" i="10"/>
  <c r="N92" i="10"/>
  <c r="L92" i="10"/>
  <c r="M14" i="10"/>
  <c r="N14" i="10"/>
  <c r="L14" i="10"/>
  <c r="N24" i="10"/>
  <c r="L24" i="10"/>
  <c r="M24" i="10"/>
  <c r="N45" i="10"/>
  <c r="L45" i="10"/>
  <c r="M45" i="10"/>
  <c r="N76" i="10"/>
  <c r="L76" i="10"/>
  <c r="M76" i="10"/>
  <c r="M16" i="10"/>
  <c r="N16" i="10"/>
  <c r="L16" i="10"/>
  <c r="N23" i="10"/>
  <c r="L23" i="10"/>
  <c r="M23" i="10"/>
  <c r="M59" i="10"/>
  <c r="L59" i="10"/>
  <c r="N59" i="10"/>
  <c r="N39" i="10"/>
  <c r="L39" i="10"/>
  <c r="M39" i="10"/>
  <c r="L8" i="10"/>
  <c r="N8" i="10"/>
  <c r="M8" i="10"/>
  <c r="L13" i="10"/>
  <c r="N13" i="10"/>
  <c r="M13" i="10"/>
  <c r="L55" i="10"/>
  <c r="M55" i="10"/>
  <c r="N55" i="10"/>
  <c r="L90" i="10"/>
  <c r="N90" i="10"/>
  <c r="M90" i="10"/>
  <c r="L97" i="10"/>
  <c r="M97" i="10"/>
  <c r="N97" i="10"/>
  <c r="M25" i="10"/>
  <c r="L25" i="10"/>
  <c r="N25" i="10"/>
  <c r="N29" i="10"/>
  <c r="M29" i="10"/>
  <c r="L29" i="10"/>
  <c r="L68" i="10"/>
  <c r="M68" i="10"/>
  <c r="N68" i="10"/>
  <c r="M32" i="10"/>
  <c r="L32" i="10"/>
  <c r="N32" i="10"/>
  <c r="N48" i="10"/>
  <c r="L48" i="10"/>
  <c r="M48" i="10"/>
  <c r="L51" i="10"/>
  <c r="N51" i="10"/>
  <c r="M51" i="10"/>
  <c r="M100" i="10"/>
  <c r="L100" i="10"/>
  <c r="N100" i="10"/>
  <c r="M15" i="10"/>
  <c r="L15" i="10"/>
  <c r="N15" i="10"/>
  <c r="M18" i="10"/>
  <c r="L18" i="10"/>
  <c r="N18" i="10"/>
  <c r="M56" i="10"/>
  <c r="L56" i="10"/>
  <c r="N56" i="10"/>
  <c r="M85" i="10"/>
  <c r="L85" i="10"/>
  <c r="N85" i="10"/>
  <c r="L93" i="10"/>
  <c r="M93" i="10"/>
  <c r="N93" i="10"/>
  <c r="L80" i="10"/>
  <c r="M80" i="10"/>
  <c r="N80" i="10"/>
  <c r="N30" i="10"/>
  <c r="M30" i="10"/>
  <c r="L30" i="10"/>
  <c r="M64" i="10"/>
  <c r="L64" i="10"/>
  <c r="N64" i="10"/>
  <c r="M34" i="10"/>
  <c r="L34" i="10"/>
  <c r="N34" i="10"/>
  <c r="M86" i="10"/>
  <c r="L86" i="10"/>
  <c r="N86" i="10"/>
  <c r="M46" i="10"/>
  <c r="N46" i="10"/>
  <c r="L46" i="10"/>
  <c r="M47" i="10"/>
  <c r="N47" i="10"/>
  <c r="L47" i="10"/>
  <c r="L78" i="10"/>
  <c r="M78" i="10"/>
  <c r="N78" i="10"/>
  <c r="M9" i="10"/>
  <c r="N9" i="10"/>
  <c r="L9" i="10"/>
  <c r="M69" i="10"/>
  <c r="L69" i="10"/>
  <c r="N69" i="10"/>
  <c r="L77" i="10"/>
  <c r="M77" i="10"/>
  <c r="N77" i="10"/>
  <c r="M5" i="10"/>
  <c r="N5" i="10"/>
  <c r="L5" i="10"/>
  <c r="M17" i="10"/>
  <c r="L17" i="10"/>
  <c r="N17" i="10"/>
  <c r="N63" i="10"/>
  <c r="M63" i="10"/>
  <c r="L63" i="10"/>
  <c r="M74" i="10"/>
  <c r="L74" i="10"/>
  <c r="N74" i="10"/>
  <c r="L81" i="10"/>
  <c r="M81" i="10"/>
  <c r="N81" i="10"/>
  <c r="L95" i="10"/>
  <c r="M95" i="10"/>
  <c r="N95" i="10"/>
  <c r="L37" i="10"/>
  <c r="N37" i="10"/>
  <c r="M37" i="10"/>
  <c r="L91" i="10"/>
  <c r="M91" i="10"/>
  <c r="N91" i="10"/>
  <c r="L98" i="10"/>
  <c r="M98" i="10"/>
  <c r="N98" i="10"/>
  <c r="N10" i="10"/>
  <c r="M10" i="10"/>
  <c r="L10" i="10"/>
  <c r="M33" i="10"/>
  <c r="N33" i="10"/>
  <c r="L33" i="10"/>
  <c r="N21" i="10"/>
  <c r="M21" i="10"/>
  <c r="L21" i="10"/>
  <c r="M75" i="10"/>
  <c r="N75" i="10"/>
  <c r="L75" i="10"/>
  <c r="L79" i="10"/>
  <c r="N79" i="10"/>
  <c r="M79" i="10"/>
  <c r="N11" i="10"/>
  <c r="L11" i="10"/>
  <c r="M11" i="10"/>
  <c r="M26" i="10"/>
  <c r="N26" i="10"/>
  <c r="L26" i="10"/>
  <c r="N41" i="10"/>
  <c r="M41" i="10"/>
  <c r="L41" i="10"/>
  <c r="L57" i="10"/>
  <c r="N57" i="10"/>
  <c r="M57" i="10"/>
  <c r="N70" i="10"/>
  <c r="L70" i="10"/>
  <c r="M70" i="10"/>
  <c r="L83" i="10"/>
  <c r="M83" i="10"/>
  <c r="N83" i="10"/>
  <c r="L96" i="10"/>
  <c r="N96" i="10"/>
  <c r="M96" i="10"/>
  <c r="M20" i="10"/>
  <c r="L20" i="10"/>
  <c r="N20" i="10"/>
  <c r="N52" i="10"/>
  <c r="L52" i="10"/>
  <c r="M52" i="10"/>
  <c r="M22" i="10"/>
  <c r="L22" i="10"/>
  <c r="N22" i="10"/>
  <c r="L61" i="10"/>
  <c r="N61" i="10"/>
  <c r="M61" i="10"/>
  <c r="L6" i="10"/>
  <c r="N6" i="10"/>
  <c r="M6" i="10"/>
  <c r="N35" i="10"/>
  <c r="M35" i="10"/>
  <c r="L35" i="10"/>
  <c r="L72" i="10"/>
  <c r="M72" i="10"/>
  <c r="N72" i="10"/>
  <c r="L73" i="10"/>
  <c r="M73" i="10"/>
  <c r="N73" i="10"/>
  <c r="Q11" i="2"/>
  <c r="Q12" i="2"/>
  <c r="Q8" i="2"/>
  <c r="Q10" i="2"/>
  <c r="Q7" i="2"/>
  <c r="Q9" i="2"/>
  <c r="Q13" i="2"/>
  <c r="J12" i="2" a="1"/>
  <c r="J12" i="2" s="1"/>
  <c r="J13" i="2" s="1" a="1"/>
  <c r="J13" i="2" s="1"/>
  <c r="J7" i="3"/>
  <c r="I6" i="3"/>
  <c r="Q13" i="9"/>
  <c r="Q7" i="9"/>
  <c r="Q10" i="9"/>
  <c r="Q8" i="9"/>
  <c r="I12" i="3"/>
  <c r="J12" i="3" s="1"/>
  <c r="Q9" i="9"/>
  <c r="I10" i="3"/>
  <c r="Q11" i="9"/>
  <c r="I8" i="3"/>
  <c r="J8" i="3" s="1"/>
  <c r="Q12" i="9"/>
  <c r="J8" i="8" a="1"/>
  <c r="J8" i="8" s="1"/>
  <c r="Q7" i="8"/>
  <c r="Q9" i="8"/>
  <c r="H6" i="3"/>
  <c r="Q12" i="8"/>
  <c r="H11" i="3"/>
  <c r="J11" i="3" s="1"/>
  <c r="Q13" i="8"/>
  <c r="H10" i="3"/>
  <c r="Q11" i="8"/>
  <c r="Q10" i="8"/>
  <c r="Q8" i="8"/>
  <c r="J14" i="4" a="1"/>
  <c r="J14" i="4" s="1"/>
  <c r="Q10" i="7"/>
  <c r="Q7" i="7"/>
  <c r="Q12" i="7"/>
  <c r="Q13" i="7"/>
  <c r="Q8" i="7"/>
  <c r="Q9" i="7"/>
  <c r="G9" i="3"/>
  <c r="J9" i="3" s="1"/>
  <c r="Q11" i="7"/>
  <c r="J12" i="7" a="1"/>
  <c r="J12" i="7" s="1"/>
  <c r="J13" i="7" s="1" a="1"/>
  <c r="J13" i="7" s="1"/>
  <c r="T11" i="9" l="1"/>
  <c r="S11" i="9"/>
  <c r="O62" i="10"/>
  <c r="O99" i="10"/>
  <c r="O88" i="10"/>
  <c r="S13" i="8"/>
  <c r="O38" i="10"/>
  <c r="O42" i="10"/>
  <c r="O44" i="10"/>
  <c r="O40" i="10"/>
  <c r="O94" i="10"/>
  <c r="O89" i="10"/>
  <c r="O27" i="10"/>
  <c r="O50" i="10"/>
  <c r="O31" i="10"/>
  <c r="O60" i="10"/>
  <c r="O87" i="10"/>
  <c r="O28" i="10"/>
  <c r="O43" i="10"/>
  <c r="O49" i="10"/>
  <c r="O12" i="10"/>
  <c r="O71" i="10"/>
  <c r="O54" i="10"/>
  <c r="O82" i="10"/>
  <c r="O58" i="10"/>
  <c r="O84" i="10"/>
  <c r="S7" i="5"/>
  <c r="T7" i="5"/>
  <c r="S9" i="5"/>
  <c r="T7" i="6"/>
  <c r="T8" i="6"/>
  <c r="S8" i="6"/>
  <c r="S7" i="6"/>
  <c r="T10" i="6"/>
  <c r="S11" i="6"/>
  <c r="T11" i="6"/>
  <c r="T13" i="6"/>
  <c r="S13" i="6"/>
  <c r="S10" i="6"/>
  <c r="T12" i="6"/>
  <c r="T9" i="6"/>
  <c r="S12" i="6"/>
  <c r="S9" i="6"/>
  <c r="T9" i="5"/>
  <c r="S10" i="5"/>
  <c r="S11" i="5"/>
  <c r="T8" i="5"/>
  <c r="S13" i="5"/>
  <c r="T11" i="5"/>
  <c r="T12" i="5"/>
  <c r="S8" i="5"/>
  <c r="T10" i="5"/>
  <c r="T13" i="5"/>
  <c r="S12" i="5"/>
  <c r="T11" i="4"/>
  <c r="W11" i="4" s="1"/>
  <c r="T9" i="4"/>
  <c r="W9" i="4" s="1"/>
  <c r="T12" i="4"/>
  <c r="W12" i="4" s="1"/>
  <c r="S12" i="4"/>
  <c r="S9" i="4"/>
  <c r="T10" i="4"/>
  <c r="W10" i="4" s="1"/>
  <c r="S13" i="4"/>
  <c r="S8" i="4"/>
  <c r="T13" i="4"/>
  <c r="W13" i="4" s="1"/>
  <c r="S10" i="4"/>
  <c r="T7" i="4"/>
  <c r="W7" i="4" s="1"/>
  <c r="T8" i="4"/>
  <c r="W8" i="4" s="1"/>
  <c r="S7" i="4"/>
  <c r="S11" i="4"/>
  <c r="O86" i="10"/>
  <c r="O85" i="10"/>
  <c r="O18" i="10"/>
  <c r="O32" i="10"/>
  <c r="O39" i="10"/>
  <c r="O52" i="10"/>
  <c r="O70" i="10"/>
  <c r="O74" i="10"/>
  <c r="O17" i="10"/>
  <c r="O69" i="10"/>
  <c r="O64" i="10"/>
  <c r="O73" i="10"/>
  <c r="O83" i="10"/>
  <c r="O79" i="10"/>
  <c r="O10" i="10"/>
  <c r="O81" i="10"/>
  <c r="O5" i="10"/>
  <c r="O77" i="10"/>
  <c r="O78" i="10"/>
  <c r="O97" i="10"/>
  <c r="O55" i="10"/>
  <c r="O8" i="10"/>
  <c r="O16" i="10"/>
  <c r="O14" i="10"/>
  <c r="O35" i="10"/>
  <c r="O20" i="10"/>
  <c r="O96" i="10"/>
  <c r="O57" i="10"/>
  <c r="O26" i="10"/>
  <c r="O11" i="10"/>
  <c r="O75" i="10"/>
  <c r="O33" i="10"/>
  <c r="O98" i="10"/>
  <c r="O91" i="10"/>
  <c r="O95" i="10"/>
  <c r="O9" i="10"/>
  <c r="O100" i="10"/>
  <c r="O51" i="10"/>
  <c r="O48" i="10"/>
  <c r="O29" i="10"/>
  <c r="O25" i="10"/>
  <c r="O53" i="10"/>
  <c r="O6" i="10"/>
  <c r="O61" i="10"/>
  <c r="O41" i="10"/>
  <c r="O21" i="10"/>
  <c r="O46" i="10"/>
  <c r="O30" i="10"/>
  <c r="O93" i="10"/>
  <c r="O68" i="10"/>
  <c r="O23" i="10"/>
  <c r="O76" i="10"/>
  <c r="O24" i="10"/>
  <c r="O92" i="10"/>
  <c r="O19" i="10"/>
  <c r="O72" i="10"/>
  <c r="O22" i="10"/>
  <c r="O37" i="10"/>
  <c r="O63" i="10"/>
  <c r="O47" i="10"/>
  <c r="O34" i="10"/>
  <c r="O80" i="10"/>
  <c r="O56" i="10"/>
  <c r="O15" i="10"/>
  <c r="O90" i="10"/>
  <c r="O13" i="10"/>
  <c r="O59" i="10"/>
  <c r="O45" i="10"/>
  <c r="O36" i="10"/>
  <c r="O7" i="10"/>
  <c r="T11" i="2"/>
  <c r="S10" i="2"/>
  <c r="S8" i="2"/>
  <c r="T8" i="2"/>
  <c r="S13" i="2"/>
  <c r="T13" i="2"/>
  <c r="T7" i="2"/>
  <c r="S11" i="2"/>
  <c r="T10" i="2"/>
  <c r="S12" i="2"/>
  <c r="T12" i="2"/>
  <c r="S7" i="2"/>
  <c r="T9" i="2"/>
  <c r="S9" i="2"/>
  <c r="J6" i="3"/>
  <c r="T7" i="9"/>
  <c r="S10" i="9"/>
  <c r="T12" i="9"/>
  <c r="T8" i="9"/>
  <c r="S7" i="9"/>
  <c r="T10" i="9"/>
  <c r="S13" i="9"/>
  <c r="S9" i="9"/>
  <c r="T13" i="9"/>
  <c r="T9" i="9"/>
  <c r="S12" i="9"/>
  <c r="S8" i="9"/>
  <c r="J10" i="3"/>
  <c r="S7" i="8"/>
  <c r="T7" i="8"/>
  <c r="S12" i="8"/>
  <c r="T13" i="8"/>
  <c r="T12" i="8"/>
  <c r="S9" i="8"/>
  <c r="T8" i="8"/>
  <c r="S10" i="8"/>
  <c r="S11" i="8"/>
  <c r="T11" i="8"/>
  <c r="T9" i="8"/>
  <c r="S8" i="8"/>
  <c r="T10" i="8"/>
  <c r="T7" i="7"/>
  <c r="T8" i="7"/>
  <c r="S7" i="7"/>
  <c r="T9" i="7"/>
  <c r="S9" i="7"/>
  <c r="T11" i="7"/>
  <c r="S10" i="7"/>
  <c r="S8" i="7"/>
  <c r="T12" i="7"/>
  <c r="S12" i="7"/>
  <c r="S13" i="7"/>
  <c r="S11" i="7"/>
  <c r="T10" i="7"/>
  <c r="T13" i="7"/>
  <c r="P99" i="10" l="1"/>
  <c r="P88" i="10"/>
  <c r="P62" i="10"/>
  <c r="P38" i="10"/>
  <c r="P44" i="10"/>
  <c r="P42" i="10"/>
  <c r="P40" i="10"/>
  <c r="P94" i="10"/>
  <c r="P50" i="10"/>
  <c r="P31" i="10"/>
  <c r="P27" i="10"/>
  <c r="P89" i="10"/>
  <c r="P28" i="10"/>
  <c r="P87" i="10"/>
  <c r="P60" i="10"/>
  <c r="P82" i="10"/>
  <c r="P43" i="10"/>
  <c r="P54" i="10"/>
  <c r="P84" i="10"/>
  <c r="P58" i="10"/>
  <c r="P12" i="10"/>
  <c r="P71" i="10"/>
  <c r="P49" i="10"/>
  <c r="P90" i="10"/>
  <c r="P74" i="10"/>
  <c r="P15" i="10"/>
  <c r="P22" i="10"/>
  <c r="P23" i="10"/>
  <c r="P30" i="10"/>
  <c r="P46" i="10"/>
  <c r="P17" i="10"/>
  <c r="P41" i="10"/>
  <c r="P61" i="10"/>
  <c r="P53" i="10"/>
  <c r="P29" i="10"/>
  <c r="P100" i="10"/>
  <c r="P75" i="10"/>
  <c r="P96" i="10"/>
  <c r="P35" i="10"/>
  <c r="P16" i="10"/>
  <c r="P55" i="10"/>
  <c r="P85" i="10"/>
  <c r="P5" i="10"/>
  <c r="P10" i="10"/>
  <c r="P83" i="10"/>
  <c r="P7" i="10"/>
  <c r="P59" i="10"/>
  <c r="P56" i="10"/>
  <c r="P47" i="10"/>
  <c r="P63" i="10"/>
  <c r="P92" i="10"/>
  <c r="P6" i="10"/>
  <c r="P48" i="10"/>
  <c r="P95" i="10"/>
  <c r="P91" i="10"/>
  <c r="P11" i="10"/>
  <c r="P20" i="10"/>
  <c r="P39" i="10"/>
  <c r="P86" i="10"/>
  <c r="P36" i="10"/>
  <c r="P13" i="10"/>
  <c r="P80" i="10"/>
  <c r="P37" i="10"/>
  <c r="P72" i="10"/>
  <c r="P24" i="10"/>
  <c r="P68" i="10"/>
  <c r="P64" i="10"/>
  <c r="P70" i="10"/>
  <c r="P51" i="10"/>
  <c r="P9" i="10"/>
  <c r="P98" i="10"/>
  <c r="P26" i="10"/>
  <c r="P14" i="10"/>
  <c r="P97" i="10"/>
  <c r="P32" i="10"/>
  <c r="P78" i="10"/>
  <c r="P81" i="10"/>
  <c r="P45" i="10"/>
  <c r="P34" i="10"/>
  <c r="P19" i="10"/>
  <c r="P76" i="10"/>
  <c r="P93" i="10"/>
  <c r="P69" i="10"/>
  <c r="P21" i="10"/>
  <c r="P52" i="10"/>
  <c r="P25" i="10"/>
  <c r="P33" i="10"/>
  <c r="P57" i="10"/>
  <c r="P8" i="10"/>
  <c r="P18" i="10"/>
  <c r="P77" i="10"/>
  <c r="P79" i="10"/>
  <c r="P73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</author>
  </authors>
  <commentList>
    <comment ref="A44" authorId="0" shapeId="0" xr:uid="{2CB64ED3-197C-F049-B984-24B17A8EB672}">
      <text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Adhérent Montpensier</t>
        </r>
      </text>
    </comment>
  </commentList>
</comments>
</file>

<file path=xl/sharedStrings.xml><?xml version="1.0" encoding="utf-8"?>
<sst xmlns="http://schemas.openxmlformats.org/spreadsheetml/2006/main" count="1800" uniqueCount="235">
  <si>
    <t>Score
Total</t>
  </si>
  <si>
    <t>CLASSEMENT INDIVIDUEL MESSIEURS</t>
  </si>
  <si>
    <t>T1</t>
  </si>
  <si>
    <t>T2</t>
  </si>
  <si>
    <t>T3</t>
  </si>
  <si>
    <t>T4</t>
  </si>
  <si>
    <t>BOURGIER</t>
  </si>
  <si>
    <t>Robert</t>
  </si>
  <si>
    <t>CHARADE</t>
  </si>
  <si>
    <t>JEANDREAU</t>
  </si>
  <si>
    <t>Alain</t>
  </si>
  <si>
    <t>RIOM</t>
  </si>
  <si>
    <t>Michel</t>
  </si>
  <si>
    <t>LOUBAT</t>
  </si>
  <si>
    <t>Jean</t>
  </si>
  <si>
    <t>HESEL</t>
  </si>
  <si>
    <t>Jean Marc</t>
  </si>
  <si>
    <t>VAL D'AUZON</t>
  </si>
  <si>
    <t>CAMBET</t>
  </si>
  <si>
    <t>Gérard</t>
  </si>
  <si>
    <t>GRAVELIN</t>
  </si>
  <si>
    <t>Marc</t>
  </si>
  <si>
    <t>Jean Louis</t>
  </si>
  <si>
    <t>Jacques</t>
  </si>
  <si>
    <t>MONTPENSIER</t>
  </si>
  <si>
    <t>LABAUNE</t>
  </si>
  <si>
    <t>VEDEL</t>
  </si>
  <si>
    <t>Daniel</t>
  </si>
  <si>
    <t>ANAVOISARD</t>
  </si>
  <si>
    <t>Dominique</t>
  </si>
  <si>
    <t>KUCHCIK</t>
  </si>
  <si>
    <t>Georges</t>
  </si>
  <si>
    <t>PERRIER</t>
  </si>
  <si>
    <t>Serge</t>
  </si>
  <si>
    <t>RODDE</t>
  </si>
  <si>
    <t>NEYRIAL</t>
  </si>
  <si>
    <t>Pierre</t>
  </si>
  <si>
    <t>Jacky</t>
  </si>
  <si>
    <t>SOUTHON</t>
  </si>
  <si>
    <t>René</t>
  </si>
  <si>
    <t>Philippe</t>
  </si>
  <si>
    <t>MOULIN</t>
  </si>
  <si>
    <t>Christian</t>
  </si>
  <si>
    <t>MACHAJ</t>
  </si>
  <si>
    <t>Gilles</t>
  </si>
  <si>
    <t>ROSSI</t>
  </si>
  <si>
    <t>CLASSEMENT INDIVIDUEL Dames</t>
  </si>
  <si>
    <t>Huguette</t>
  </si>
  <si>
    <t>Annie</t>
  </si>
  <si>
    <t>Sylvie</t>
  </si>
  <si>
    <t>Michelle</t>
  </si>
  <si>
    <t>MONCHAUX</t>
  </si>
  <si>
    <t>Marie Hélène</t>
  </si>
  <si>
    <t>GAILLARD</t>
  </si>
  <si>
    <t>MANOUVRIER</t>
  </si>
  <si>
    <t>Martine</t>
  </si>
  <si>
    <t>TIXIER</t>
  </si>
  <si>
    <t>Corinne</t>
  </si>
  <si>
    <t>CUVIER</t>
  </si>
  <si>
    <t>MERCIER</t>
  </si>
  <si>
    <t>Claude</t>
  </si>
  <si>
    <t>T5</t>
  </si>
  <si>
    <t>VACHOT</t>
  </si>
  <si>
    <t>MAURIAC</t>
  </si>
  <si>
    <t>FAURIE</t>
  </si>
  <si>
    <t>PIERROT</t>
  </si>
  <si>
    <t>GUEGUEN</t>
  </si>
  <si>
    <t>Elisabeth</t>
  </si>
  <si>
    <t>Jean Pierre</t>
  </si>
  <si>
    <t>NOM</t>
  </si>
  <si>
    <t>PRENOM</t>
  </si>
  <si>
    <t>CLUB</t>
  </si>
  <si>
    <t>Didier</t>
  </si>
  <si>
    <t>MEYNIAL</t>
  </si>
  <si>
    <t>VESCOVI</t>
  </si>
  <si>
    <t>T6</t>
  </si>
  <si>
    <t>T7</t>
  </si>
  <si>
    <t>FROMAGE</t>
  </si>
  <si>
    <t>Régine</t>
  </si>
  <si>
    <t>CIBERT GOTHON</t>
  </si>
  <si>
    <t>MOUTREUX</t>
  </si>
  <si>
    <t>DOMY</t>
  </si>
  <si>
    <t>Monique</t>
  </si>
  <si>
    <t>Jocelyne</t>
  </si>
  <si>
    <t>Premier score retiré</t>
  </si>
  <si>
    <t>Second score retiré</t>
  </si>
  <si>
    <t>En rouge</t>
  </si>
  <si>
    <t>En bleu</t>
  </si>
  <si>
    <t>Jean Claude</t>
  </si>
  <si>
    <t>FLORENCIO</t>
  </si>
  <si>
    <t>Janine</t>
  </si>
  <si>
    <t>JOSSIER</t>
  </si>
  <si>
    <t>MICHAUDEL</t>
  </si>
  <si>
    <t>Marie Martine</t>
  </si>
  <si>
    <t xml:space="preserve">VIDAL </t>
  </si>
  <si>
    <t>Odile</t>
  </si>
  <si>
    <t>RUSZNIEWSKI</t>
  </si>
  <si>
    <t>BENAZECH</t>
  </si>
  <si>
    <t>1 er     SCORE
Retiré</t>
  </si>
  <si>
    <t>2 ème    SCORE
Retiré</t>
  </si>
  <si>
    <t>BABUT</t>
  </si>
  <si>
    <t>Jean Luc</t>
  </si>
  <si>
    <t>MOUTH</t>
  </si>
  <si>
    <t>SOU AH Y</t>
  </si>
  <si>
    <t>Christophe</t>
  </si>
  <si>
    <t>Bruno</t>
  </si>
  <si>
    <t>SCORE
Final 
2024</t>
  </si>
  <si>
    <t>GAZELEC CLERMONT</t>
  </si>
  <si>
    <t>MARGOTTIN</t>
  </si>
  <si>
    <t>Patrice</t>
  </si>
  <si>
    <t>ROBERT</t>
  </si>
  <si>
    <t>GEIGER</t>
  </si>
  <si>
    <t>Yael</t>
  </si>
  <si>
    <t>PEGEON</t>
  </si>
  <si>
    <t>BRUNEL</t>
  </si>
  <si>
    <t>BOURNAT</t>
  </si>
  <si>
    <t>Christiane</t>
  </si>
  <si>
    <t>CLUZEL</t>
  </si>
  <si>
    <t>CARRER</t>
  </si>
  <si>
    <t xml:space="preserve">LOUBAT </t>
  </si>
  <si>
    <t>Jacqueline</t>
  </si>
  <si>
    <t>Classement</t>
  </si>
  <si>
    <t>GEBRILLAT</t>
  </si>
  <si>
    <t>Maël</t>
  </si>
  <si>
    <t>FONTANON</t>
  </si>
  <si>
    <t>FLECHE</t>
  </si>
  <si>
    <t>Agnès</t>
  </si>
  <si>
    <t>SCORE
Final 
2025</t>
  </si>
  <si>
    <t xml:space="preserve">NOM </t>
  </si>
  <si>
    <t>BRUT</t>
  </si>
  <si>
    <t>JUHLIEN</t>
  </si>
  <si>
    <t>Roland</t>
  </si>
  <si>
    <t>GAZELEC MOULINS/VICHY</t>
  </si>
  <si>
    <t>VIDAL</t>
  </si>
  <si>
    <t>Colonne1</t>
  </si>
  <si>
    <t>TOP 3 BRUT</t>
  </si>
  <si>
    <t>INDIVIDUEL DAMES</t>
  </si>
  <si>
    <t>SCORE  Brut</t>
  </si>
  <si>
    <t>CLASSEMENT</t>
  </si>
  <si>
    <t>M</t>
  </si>
  <si>
    <t>F</t>
  </si>
  <si>
    <t>Catégorie</t>
  </si>
  <si>
    <t>INDIVIDUEL MESSIEURS</t>
  </si>
  <si>
    <t>CONCOURS APPROCHE DAMES</t>
  </si>
  <si>
    <t>Distance</t>
  </si>
  <si>
    <t>Green N° 9</t>
  </si>
  <si>
    <t>CONCOURS APPROCHE MESSIEURS</t>
  </si>
  <si>
    <t>EQUIPES</t>
  </si>
  <si>
    <t>SCORE Brut</t>
  </si>
  <si>
    <t>LAPERNA</t>
  </si>
  <si>
    <t>JOFFRE</t>
  </si>
  <si>
    <t>Pascal</t>
  </si>
  <si>
    <t>Caroline</t>
  </si>
  <si>
    <t>BONNET</t>
  </si>
  <si>
    <t>MIGUET</t>
  </si>
  <si>
    <t>MONT DORE</t>
  </si>
  <si>
    <t>LES VOLCANS</t>
  </si>
  <si>
    <t>GLOBAL</t>
  </si>
  <si>
    <t>PLOSSARD</t>
  </si>
  <si>
    <t>Joëlle</t>
  </si>
  <si>
    <t xml:space="preserve">Gérard </t>
  </si>
  <si>
    <t xml:space="preserve"> Jean-Michel</t>
  </si>
  <si>
    <t>Green N° 6</t>
  </si>
  <si>
    <t>MAZUEL</t>
  </si>
  <si>
    <t>Nicole</t>
  </si>
  <si>
    <t>Jean-Michel</t>
  </si>
  <si>
    <t>Mickaël</t>
  </si>
  <si>
    <t>ROUSSEAU</t>
  </si>
  <si>
    <t>Maryline</t>
  </si>
  <si>
    <t xml:space="preserve">Gérard  </t>
  </si>
  <si>
    <t>Green N° 4</t>
  </si>
  <si>
    <t>MARCUCCI</t>
  </si>
  <si>
    <t>GOUGAT</t>
  </si>
  <si>
    <t>Roger</t>
  </si>
  <si>
    <t>JULHIEN</t>
  </si>
  <si>
    <t xml:space="preserve">               ISAPP
             ANNEE 2026
            GENERAL EQUIPE</t>
  </si>
  <si>
    <t>F P P  -  ISAPP  T1
   GOLF DE MONTPENSIER                                                                                                         26 MARS 2026</t>
  </si>
  <si>
    <t>Score
MONTPENSIER
26/03/26</t>
  </si>
  <si>
    <t>Score
CHARADE
23/04/26</t>
  </si>
  <si>
    <t>Score
MAURIAC
04/06/26</t>
  </si>
  <si>
    <t>Score
MONT DORE
18/06/26</t>
  </si>
  <si>
    <t>Score
LES VOLCANS
20/08/26</t>
  </si>
  <si>
    <t>Score
VAL D'AUZON
03/09/26</t>
  </si>
  <si>
    <t>Score
RIOM
24/09/26</t>
  </si>
  <si>
    <t>F P P  -  ISAPP  T2
   GOLF DE CHARADE                                                                      23 AVRIL 2026</t>
  </si>
  <si>
    <t xml:space="preserve">               ISAPP
             ANNEE 2026
            GENERAL INDIVIDUEL</t>
  </si>
  <si>
    <t>F P P  -  ISAPP  T3
   GOLF DE MAURIAC                                                                                                     4 JUIN 2026</t>
  </si>
  <si>
    <t>F P P  -  ISAPP  T4
   GOLF DU MONT DORE                                                                                                   18 JUIN 2026</t>
  </si>
  <si>
    <t>F P P  -  ISAPP  T6
   GOLF DE VAL D'AUZON                                                                                                    3 SEPTEMBRE 2026</t>
  </si>
  <si>
    <t>F P P  -  ISAPP  T7
   GOLF DE RIOM                                                                                                      24 SEPTEMBRE 2026</t>
  </si>
  <si>
    <t>FLEURY</t>
  </si>
  <si>
    <t>LARIVIERE</t>
  </si>
  <si>
    <t xml:space="preserve">Ghislaine </t>
  </si>
  <si>
    <t>BARON</t>
  </si>
  <si>
    <t>Yvette</t>
  </si>
  <si>
    <t>DUCHER</t>
  </si>
  <si>
    <t>Agnés</t>
  </si>
  <si>
    <t>RICHARD</t>
  </si>
  <si>
    <t>BRIDIER</t>
  </si>
  <si>
    <t>LAURENT</t>
  </si>
  <si>
    <t>Noël</t>
  </si>
  <si>
    <t>LAVEDIAU</t>
  </si>
  <si>
    <t>RAYNIERE</t>
  </si>
  <si>
    <t>Pierre Jean</t>
  </si>
  <si>
    <t>FOURNIER</t>
  </si>
  <si>
    <t>Hervé</t>
  </si>
  <si>
    <t>HEBERT</t>
  </si>
  <si>
    <t>Françoise</t>
  </si>
  <si>
    <t>MAURIO</t>
  </si>
  <si>
    <t>GAZELEC M/VICHY</t>
  </si>
  <si>
    <t>Score
MONT DORE
18/07/26</t>
  </si>
  <si>
    <t>10 cm</t>
  </si>
  <si>
    <t>2,29 m</t>
  </si>
  <si>
    <t>SAVOIE</t>
  </si>
  <si>
    <t>RAY</t>
  </si>
  <si>
    <t>12</t>
  </si>
  <si>
    <t>Green N° 8</t>
  </si>
  <si>
    <t>3,99 m</t>
  </si>
  <si>
    <t>1,27 m</t>
  </si>
  <si>
    <t>ZANADA</t>
  </si>
  <si>
    <t>DULAC</t>
  </si>
  <si>
    <t>Yves</t>
  </si>
  <si>
    <t>POMARES</t>
  </si>
  <si>
    <t>Jean-Claude</t>
  </si>
  <si>
    <t>RUSNIEWSKI</t>
  </si>
  <si>
    <t>SIMONIN</t>
  </si>
  <si>
    <t>Green N° 3</t>
  </si>
  <si>
    <t>F P P  -  ISAPP  T5
   GOLF DES VOLCANS                                                                                                     20 AOUT 2026</t>
  </si>
  <si>
    <t>52,5 cm</t>
  </si>
  <si>
    <t>70,7cm</t>
  </si>
  <si>
    <t>Michele</t>
  </si>
  <si>
    <t>DAUPHIN</t>
  </si>
  <si>
    <t>DUBERT</t>
  </si>
  <si>
    <t>Valérie</t>
  </si>
  <si>
    <t>Green N°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</si>
</sst>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C]_-;\-* #,##0.00\ [$€-40C]_-;_-* &quot;-&quot;??\ [$€-40C]_-;_-@_-"/>
  </numFmts>
  <fonts count="53">
    <font>
      <sz val="10"/>
      <name val="Arial"/>
      <family val="2"/>
    </font>
    <font>
      <b/>
      <sz val="16"/>
      <name val="Comic Sans MS"/>
      <family val="4"/>
    </font>
    <font>
      <b/>
      <sz val="12"/>
      <name val="Comic Sans MS"/>
      <family val="4"/>
    </font>
    <font>
      <sz val="12"/>
      <name val="Comic Sans MS"/>
      <family val="4"/>
    </font>
    <font>
      <b/>
      <sz val="1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4"/>
      <color rgb="FFFF0000"/>
      <name val="Comic Sans MS"/>
      <family val="4"/>
    </font>
    <font>
      <b/>
      <sz val="14"/>
      <name val="Comic Sans MS"/>
      <family val="4"/>
    </font>
    <font>
      <sz val="14"/>
      <color rgb="FF0000FF"/>
      <name val="Comic Sans MS"/>
      <family val="4"/>
    </font>
    <font>
      <b/>
      <sz val="12"/>
      <color theme="1"/>
      <name val="Comic Sans MS"/>
      <family val="4"/>
    </font>
    <font>
      <sz val="12"/>
      <color theme="1"/>
      <name val="Comic Sans MS"/>
      <family val="4"/>
    </font>
    <font>
      <sz val="12"/>
      <color rgb="FFFF0000"/>
      <name val="Comic Sans MS"/>
      <family val="4"/>
    </font>
    <font>
      <sz val="12"/>
      <color rgb="FF0070C0"/>
      <name val="Comic Sans MS"/>
      <family val="4"/>
    </font>
    <font>
      <b/>
      <sz val="12"/>
      <name val="Arial"/>
      <family val="2"/>
    </font>
    <font>
      <b/>
      <sz val="12"/>
      <name val="Comic Sans MS"/>
      <family val="4"/>
    </font>
    <font>
      <b/>
      <sz val="12"/>
      <color theme="1"/>
      <name val="Comic Sans MS"/>
      <family val="4"/>
    </font>
    <font>
      <sz val="12"/>
      <color rgb="FFFF0000"/>
      <name val="Comic Sans MS"/>
      <family val="4"/>
    </font>
    <font>
      <sz val="12"/>
      <color rgb="FF0070C0"/>
      <name val="Comic Sans MS"/>
      <family val="4"/>
    </font>
    <font>
      <b/>
      <sz val="14"/>
      <name val="Arial"/>
      <family val="2"/>
    </font>
    <font>
      <b/>
      <sz val="12"/>
      <color indexed="8"/>
      <name val="Comic Sans MS"/>
      <family val="4"/>
    </font>
    <font>
      <sz val="12"/>
      <color indexed="12"/>
      <name val="Comic Sans MS"/>
      <family val="4"/>
    </font>
    <font>
      <sz val="10"/>
      <color indexed="8"/>
      <name val="Calibri"/>
      <family val="2"/>
    </font>
    <font>
      <sz val="12"/>
      <name val="Comic Sans MS"/>
      <family val="4"/>
      <charset val="1"/>
    </font>
    <font>
      <b/>
      <sz val="16"/>
      <name val="Arial"/>
      <family val="2"/>
    </font>
    <font>
      <b/>
      <sz val="10"/>
      <color rgb="FFFF0000"/>
      <name val="Comic Sans MS"/>
      <family val="4"/>
    </font>
    <font>
      <b/>
      <sz val="14"/>
      <color indexed="8"/>
      <name val="Comic Sans MS"/>
      <family val="4"/>
    </font>
    <font>
      <b/>
      <sz val="10"/>
      <color indexed="12"/>
      <name val="Comic Sans MS"/>
      <family val="4"/>
    </font>
    <font>
      <b/>
      <sz val="10"/>
      <color indexed="8"/>
      <name val="Comic Sans MS"/>
      <family val="4"/>
    </font>
    <font>
      <b/>
      <sz val="11"/>
      <color indexed="8"/>
      <name val="Comic Sans MS"/>
      <family val="4"/>
    </font>
    <font>
      <sz val="10"/>
      <color indexed="8"/>
      <name val="Comic Sans MS"/>
      <family val="4"/>
    </font>
    <font>
      <b/>
      <sz val="14"/>
      <color indexed="12"/>
      <name val="Comic Sans MS"/>
      <family val="4"/>
    </font>
    <font>
      <sz val="10"/>
      <color indexed="10"/>
      <name val="Calibri"/>
      <family val="2"/>
    </font>
    <font>
      <sz val="10"/>
      <name val="Comic Sans MS"/>
      <family val="4"/>
    </font>
    <font>
      <b/>
      <sz val="14"/>
      <color indexed="10"/>
      <name val="Comic Sans MS"/>
      <family val="4"/>
    </font>
    <font>
      <b/>
      <sz val="10"/>
      <name val="Comic Sans MS"/>
      <family val="4"/>
    </font>
    <font>
      <sz val="12"/>
      <name val="Comic Sans MS"/>
      <family val="4"/>
    </font>
    <font>
      <b/>
      <sz val="18"/>
      <color indexed="8"/>
      <name val="Calibri"/>
      <family val="2"/>
    </font>
    <font>
      <sz val="12"/>
      <color indexed="8"/>
      <name val="Calibri"/>
      <family val="2"/>
    </font>
    <font>
      <b/>
      <sz val="10"/>
      <color indexed="8"/>
      <name val="Comic Sans MS"/>
      <family val="4"/>
    </font>
    <font>
      <sz val="9"/>
      <color rgb="FF000000"/>
      <name val="Tahoma"/>
      <family val="2"/>
    </font>
    <font>
      <sz val="12"/>
      <name val="Comic Sans MS"/>
      <family val="4"/>
    </font>
    <font>
      <sz val="12"/>
      <color indexed="12"/>
      <name val="Comic Sans MS"/>
      <family val="4"/>
    </font>
    <font>
      <sz val="12"/>
      <color theme="1"/>
      <name val="Comic Sans MS"/>
      <family val="4"/>
    </font>
    <font>
      <b/>
      <sz val="12"/>
      <color theme="1"/>
      <name val="Comic Sans MS"/>
      <family val="4"/>
    </font>
    <font>
      <sz val="12"/>
      <color rgb="FFFF0000"/>
      <name val="Comic Sans MS"/>
      <family val="4"/>
    </font>
    <font>
      <sz val="12"/>
      <color rgb="FF0070C0"/>
      <name val="Comic Sans MS"/>
      <family val="4"/>
    </font>
    <font>
      <b/>
      <sz val="14"/>
      <name val="Arial"/>
      <family val="2"/>
    </font>
    <font>
      <b/>
      <sz val="12"/>
      <name val="Comic Sans MS"/>
      <family val="4"/>
    </font>
    <font>
      <b/>
      <sz val="18"/>
      <name val="Arial"/>
      <family val="2"/>
    </font>
    <font>
      <b/>
      <sz val="12"/>
      <name val="Comic Sans MS Bold"/>
    </font>
    <font>
      <sz val="12"/>
      <name val="Comic Sans MS Bold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22"/>
        <bgColor indexed="55"/>
      </patternFill>
    </fill>
    <fill>
      <patternFill patternType="solid">
        <fgColor indexed="49"/>
        <bgColor indexed="15"/>
      </patternFill>
    </fill>
    <fill>
      <patternFill patternType="solid">
        <fgColor indexed="40"/>
        <bgColor indexed="15"/>
      </patternFill>
    </fill>
    <fill>
      <patternFill patternType="solid">
        <fgColor indexed="55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14"/>
        <bgColor indexed="33"/>
      </patternFill>
    </fill>
    <fill>
      <patternFill patternType="solid">
        <fgColor indexed="33"/>
        <bgColor indexed="14"/>
      </patternFill>
    </fill>
    <fill>
      <patternFill patternType="solid">
        <fgColor theme="9" tint="0.39997558519241921"/>
        <bgColor indexed="53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4BD97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FFCC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59999389629810485"/>
        <bgColor indexed="3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11"/>
        <bgColor indexed="49"/>
      </patternFill>
    </fill>
    <fill>
      <patternFill patternType="solid">
        <fgColor theme="9" tint="-0.249977111117893"/>
        <bgColor indexed="34"/>
      </patternFill>
    </fill>
    <fill>
      <patternFill patternType="solid">
        <fgColor indexed="52"/>
        <bgColor indexed="51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rgb="FFFFFFCC"/>
      </patternFill>
    </fill>
  </fills>
  <borders count="7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indexed="8"/>
      </right>
      <top style="thin">
        <color indexed="8"/>
      </top>
      <bottom style="thin">
        <color rgb="FF000000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10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9" fillId="0" borderId="0"/>
  </cellStyleXfs>
  <cellXfs count="29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2" fillId="6" borderId="5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9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1" fontId="2" fillId="5" borderId="4" xfId="0" applyNumberFormat="1" applyFont="1" applyFill="1" applyBorder="1" applyAlignment="1">
      <alignment horizontal="center" vertical="center"/>
    </xf>
    <xf numFmtId="1" fontId="2" fillId="6" borderId="13" xfId="0" applyNumberFormat="1" applyFont="1" applyFill="1" applyBorder="1" applyAlignment="1">
      <alignment horizontal="center"/>
    </xf>
    <xf numFmtId="1" fontId="3" fillId="5" borderId="4" xfId="0" applyNumberFormat="1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8" fillId="0" borderId="18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2" fillId="11" borderId="6" xfId="0" applyFont="1" applyFill="1" applyBorder="1" applyAlignment="1">
      <alignment horizontal="left" vertical="center"/>
    </xf>
    <xf numFmtId="0" fontId="2" fillId="15" borderId="6" xfId="0" applyFont="1" applyFill="1" applyBorder="1" applyAlignment="1">
      <alignment horizontal="left" vertical="center"/>
    </xf>
    <xf numFmtId="0" fontId="2" fillId="13" borderId="7" xfId="0" applyFont="1" applyFill="1" applyBorder="1" applyAlignment="1">
      <alignment horizontal="left" vertical="center"/>
    </xf>
    <xf numFmtId="0" fontId="2" fillId="12" borderId="6" xfId="0" applyFont="1" applyFill="1" applyBorder="1" applyAlignment="1">
      <alignment horizontal="left" vertical="center"/>
    </xf>
    <xf numFmtId="0" fontId="2" fillId="16" borderId="6" xfId="0" applyFont="1" applyFill="1" applyBorder="1" applyAlignment="1">
      <alignment horizontal="left" vertical="center"/>
    </xf>
    <xf numFmtId="0" fontId="2" fillId="11" borderId="7" xfId="0" applyFont="1" applyFill="1" applyBorder="1" applyAlignment="1">
      <alignment horizontal="left" vertical="center"/>
    </xf>
    <xf numFmtId="0" fontId="2" fillId="15" borderId="7" xfId="0" applyFont="1" applyFill="1" applyBorder="1" applyAlignment="1">
      <alignment horizontal="left" vertical="center"/>
    </xf>
    <xf numFmtId="0" fontId="2" fillId="14" borderId="7" xfId="0" applyFont="1" applyFill="1" applyBorder="1" applyAlignment="1">
      <alignment horizontal="left" vertical="center"/>
    </xf>
    <xf numFmtId="0" fontId="2" fillId="12" borderId="7" xfId="0" applyFont="1" applyFill="1" applyBorder="1" applyAlignment="1">
      <alignment horizontal="left" vertical="center"/>
    </xf>
    <xf numFmtId="1" fontId="4" fillId="0" borderId="18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1" fontId="11" fillId="7" borderId="6" xfId="0" applyNumberFormat="1" applyFont="1" applyFill="1" applyBorder="1" applyAlignment="1">
      <alignment horizontal="center"/>
    </xf>
    <xf numFmtId="1" fontId="11" fillId="7" borderId="14" xfId="0" applyNumberFormat="1" applyFont="1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2" fillId="5" borderId="15" xfId="0" applyFont="1" applyFill="1" applyBorder="1" applyAlignment="1">
      <alignment vertical="center"/>
    </xf>
    <xf numFmtId="0" fontId="2" fillId="5" borderId="16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2" fillId="8" borderId="16" xfId="0" applyFont="1" applyFill="1" applyBorder="1" applyAlignment="1">
      <alignment vertical="center" wrapText="1"/>
    </xf>
    <xf numFmtId="0" fontId="2" fillId="8" borderId="2" xfId="0" applyFont="1" applyFill="1" applyBorder="1" applyAlignment="1">
      <alignment vertical="center" wrapText="1"/>
    </xf>
    <xf numFmtId="0" fontId="2" fillId="8" borderId="15" xfId="0" applyFont="1" applyFill="1" applyBorder="1" applyAlignment="1">
      <alignment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1" fontId="2" fillId="3" borderId="21" xfId="0" applyNumberFormat="1" applyFont="1" applyFill="1" applyBorder="1" applyAlignment="1">
      <alignment horizontal="center" vertical="center" wrapText="1"/>
    </xf>
    <xf numFmtId="1" fontId="2" fillId="3" borderId="24" xfId="0" applyNumberFormat="1" applyFont="1" applyFill="1" applyBorder="1" applyAlignment="1">
      <alignment horizontal="center" vertical="center" wrapText="1"/>
    </xf>
    <xf numFmtId="0" fontId="2" fillId="10" borderId="21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wrapText="1"/>
    </xf>
    <xf numFmtId="0" fontId="2" fillId="16" borderId="7" xfId="0" applyFont="1" applyFill="1" applyBorder="1" applyAlignment="1">
      <alignment horizontal="left" vertical="center"/>
    </xf>
    <xf numFmtId="0" fontId="2" fillId="13" borderId="6" xfId="0" applyFont="1" applyFill="1" applyBorder="1" applyAlignment="1">
      <alignment horizontal="left" vertical="center"/>
    </xf>
    <xf numFmtId="0" fontId="2" fillId="17" borderId="6" xfId="0" applyFont="1" applyFill="1" applyBorder="1" applyAlignment="1">
      <alignment horizontal="left" vertical="center"/>
    </xf>
    <xf numFmtId="1" fontId="4" fillId="0" borderId="33" xfId="0" applyNumberFormat="1" applyFont="1" applyBorder="1" applyAlignment="1">
      <alignment horizontal="center"/>
    </xf>
    <xf numFmtId="0" fontId="2" fillId="4" borderId="32" xfId="0" applyFont="1" applyFill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 wrapText="1"/>
    </xf>
    <xf numFmtId="0" fontId="2" fillId="18" borderId="7" xfId="0" applyFont="1" applyFill="1" applyBorder="1" applyAlignment="1">
      <alignment horizontal="left" vertical="center"/>
    </xf>
    <xf numFmtId="0" fontId="2" fillId="0" borderId="27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12" fillId="0" borderId="34" xfId="0" applyFont="1" applyBorder="1" applyAlignment="1">
      <alignment horizontal="center"/>
    </xf>
    <xf numFmtId="1" fontId="20" fillId="0" borderId="18" xfId="0" applyNumberFormat="1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1" fontId="11" fillId="7" borderId="28" xfId="0" applyNumberFormat="1" applyFont="1" applyFill="1" applyBorder="1" applyAlignment="1">
      <alignment horizontal="center"/>
    </xf>
    <xf numFmtId="0" fontId="22" fillId="0" borderId="4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3" fillId="14" borderId="42" xfId="0" applyFont="1" applyFill="1" applyBorder="1" applyAlignment="1">
      <alignment vertical="center"/>
    </xf>
    <xf numFmtId="0" fontId="23" fillId="0" borderId="0" xfId="0" applyFont="1" applyAlignment="1">
      <alignment horizontal="center" vertical="center"/>
    </xf>
    <xf numFmtId="0" fontId="12" fillId="19" borderId="42" xfId="0" applyFont="1" applyFill="1" applyBorder="1" applyAlignment="1">
      <alignment horizontal="left" vertical="center"/>
    </xf>
    <xf numFmtId="0" fontId="22" fillId="0" borderId="43" xfId="0" applyFont="1" applyBorder="1" applyAlignment="1">
      <alignment horizontal="center" vertical="center"/>
    </xf>
    <xf numFmtId="0" fontId="3" fillId="19" borderId="44" xfId="0" applyFont="1" applyFill="1" applyBorder="1" applyAlignment="1">
      <alignment horizontal="left" vertical="center"/>
    </xf>
    <xf numFmtId="0" fontId="3" fillId="20" borderId="18" xfId="0" applyFont="1" applyFill="1" applyBorder="1" applyAlignment="1">
      <alignment vertical="center"/>
    </xf>
    <xf numFmtId="0" fontId="22" fillId="0" borderId="0" xfId="0" applyFont="1" applyAlignment="1">
      <alignment horizontal="center" vertical="center"/>
    </xf>
    <xf numFmtId="0" fontId="3" fillId="26" borderId="18" xfId="0" applyFont="1" applyFill="1" applyBorder="1" applyAlignment="1">
      <alignment vertical="center"/>
    </xf>
    <xf numFmtId="0" fontId="3" fillId="0" borderId="39" xfId="0" applyFont="1" applyBorder="1" applyAlignment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8" fillId="29" borderId="34" xfId="0" applyFont="1" applyFill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24" fillId="0" borderId="18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1" fillId="0" borderId="0" xfId="0" applyFont="1" applyAlignment="1">
      <alignment horizontal="center" vertical="center"/>
    </xf>
    <xf numFmtId="2" fontId="32" fillId="0" borderId="34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2" fillId="0" borderId="34" xfId="0" applyFont="1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27" fillId="27" borderId="14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7" fillId="27" borderId="49" xfId="0" applyFont="1" applyFill="1" applyBorder="1" applyAlignment="1">
      <alignment horizontal="center" vertical="center"/>
    </xf>
    <xf numFmtId="0" fontId="32" fillId="29" borderId="46" xfId="0" applyFont="1" applyFill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/>
    </xf>
    <xf numFmtId="0" fontId="36" fillId="29" borderId="34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9" fillId="29" borderId="14" xfId="0" applyFont="1" applyFill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/>
    </xf>
    <xf numFmtId="1" fontId="11" fillId="7" borderId="36" xfId="0" applyNumberFormat="1" applyFont="1" applyFill="1" applyBorder="1" applyAlignment="1">
      <alignment horizontal="center"/>
    </xf>
    <xf numFmtId="0" fontId="2" fillId="0" borderId="36" xfId="0" applyFont="1" applyBorder="1" applyAlignment="1">
      <alignment horizontal="left"/>
    </xf>
    <xf numFmtId="0" fontId="3" fillId="0" borderId="42" xfId="0" applyFont="1" applyBorder="1" applyAlignment="1">
      <alignment horizontal="center" vertical="center"/>
    </xf>
    <xf numFmtId="0" fontId="3" fillId="0" borderId="53" xfId="0" applyFont="1" applyBorder="1" applyAlignment="1">
      <alignment vertical="center"/>
    </xf>
    <xf numFmtId="0" fontId="3" fillId="13" borderId="42" xfId="0" applyFont="1" applyFill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30" borderId="42" xfId="0" applyFont="1" applyFill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2" fillId="14" borderId="6" xfId="0" applyFont="1" applyFill="1" applyBorder="1" applyAlignment="1">
      <alignment horizontal="left" vertical="center"/>
    </xf>
    <xf numFmtId="0" fontId="18" fillId="0" borderId="34" xfId="0" applyFont="1" applyBorder="1" applyAlignment="1">
      <alignment horizontal="center"/>
    </xf>
    <xf numFmtId="0" fontId="19" fillId="0" borderId="35" xfId="0" applyFont="1" applyBorder="1" applyAlignment="1">
      <alignment horizontal="center"/>
    </xf>
    <xf numFmtId="0" fontId="37" fillId="0" borderId="56" xfId="0" applyFont="1" applyBorder="1" applyAlignment="1">
      <alignment vertical="center"/>
    </xf>
    <xf numFmtId="0" fontId="38" fillId="0" borderId="34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7" fillId="27" borderId="58" xfId="0" applyFont="1" applyFill="1" applyBorder="1" applyAlignment="1">
      <alignment horizontal="center" vertical="center"/>
    </xf>
    <xf numFmtId="0" fontId="29" fillId="0" borderId="58" xfId="0" applyFont="1" applyBorder="1" applyAlignment="1">
      <alignment horizontal="center" vertical="center" wrapText="1"/>
    </xf>
    <xf numFmtId="0" fontId="21" fillId="0" borderId="58" xfId="0" applyFont="1" applyBorder="1" applyAlignment="1">
      <alignment horizontal="center" vertical="center"/>
    </xf>
    <xf numFmtId="0" fontId="3" fillId="0" borderId="56" xfId="0" applyFont="1" applyBorder="1" applyAlignment="1">
      <alignment vertical="center"/>
    </xf>
    <xf numFmtId="0" fontId="16" fillId="0" borderId="14" xfId="0" applyFont="1" applyBorder="1" applyAlignment="1">
      <alignment horizontal="left"/>
    </xf>
    <xf numFmtId="0" fontId="13" fillId="0" borderId="34" xfId="0" applyFont="1" applyBorder="1" applyAlignment="1">
      <alignment horizontal="center" wrapText="1"/>
    </xf>
    <xf numFmtId="0" fontId="12" fillId="0" borderId="42" xfId="0" applyFont="1" applyBorder="1" applyAlignment="1">
      <alignment horizontal="left" vertical="center"/>
    </xf>
    <xf numFmtId="0" fontId="3" fillId="0" borderId="52" xfId="0" applyFont="1" applyBorder="1" applyAlignment="1">
      <alignment vertical="center"/>
    </xf>
    <xf numFmtId="0" fontId="24" fillId="22" borderId="42" xfId="0" applyFont="1" applyFill="1" applyBorder="1" applyAlignment="1">
      <alignment horizontal="left" vertical="center"/>
    </xf>
    <xf numFmtId="0" fontId="24" fillId="0" borderId="42" xfId="0" applyFont="1" applyBorder="1" applyAlignment="1">
      <alignment horizontal="left" vertical="center"/>
    </xf>
    <xf numFmtId="0" fontId="3" fillId="0" borderId="60" xfId="0" applyFont="1" applyBorder="1" applyAlignment="1">
      <alignment vertical="center"/>
    </xf>
    <xf numFmtId="0" fontId="3" fillId="24" borderId="34" xfId="0" applyFont="1" applyFill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26" borderId="42" xfId="0" applyFont="1" applyFill="1" applyBorder="1" applyAlignment="1">
      <alignment horizontal="left" vertical="center"/>
    </xf>
    <xf numFmtId="0" fontId="3" fillId="20" borderId="42" xfId="0" applyFont="1" applyFill="1" applyBorder="1" applyAlignment="1">
      <alignment horizontal="left" vertical="center"/>
    </xf>
    <xf numFmtId="0" fontId="3" fillId="30" borderId="42" xfId="0" applyFont="1" applyFill="1" applyBorder="1" applyAlignment="1">
      <alignment horizontal="left" vertical="center"/>
    </xf>
    <xf numFmtId="0" fontId="3" fillId="14" borderId="42" xfId="0" applyFont="1" applyFill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13" borderId="42" xfId="0" applyFont="1" applyFill="1" applyBorder="1" applyAlignment="1">
      <alignment horizontal="left" vertical="center"/>
    </xf>
    <xf numFmtId="0" fontId="3" fillId="24" borderId="34" xfId="309" applyFont="1" applyFill="1" applyBorder="1" applyAlignment="1">
      <alignment horizontal="left" vertical="center"/>
    </xf>
    <xf numFmtId="0" fontId="3" fillId="0" borderId="34" xfId="309" applyFont="1" applyBorder="1" applyAlignment="1">
      <alignment horizontal="left" vertical="center"/>
    </xf>
    <xf numFmtId="0" fontId="3" fillId="0" borderId="62" xfId="0" applyFont="1" applyBorder="1" applyAlignment="1">
      <alignment vertical="center"/>
    </xf>
    <xf numFmtId="0" fontId="40" fillId="0" borderId="58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/>
    </xf>
    <xf numFmtId="0" fontId="2" fillId="0" borderId="42" xfId="0" applyFont="1" applyBorder="1" applyAlignment="1">
      <alignment horizontal="left"/>
    </xf>
    <xf numFmtId="0" fontId="2" fillId="0" borderId="6" xfId="0" applyFont="1" applyBorder="1" applyAlignment="1">
      <alignment horizontal="left" vertical="center"/>
    </xf>
    <xf numFmtId="1" fontId="17" fillId="7" borderId="28" xfId="0" applyNumberFormat="1" applyFont="1" applyFill="1" applyBorder="1" applyAlignment="1">
      <alignment horizontal="center"/>
    </xf>
    <xf numFmtId="0" fontId="3" fillId="0" borderId="63" xfId="0" applyFont="1" applyBorder="1" applyAlignment="1">
      <alignment vertical="center"/>
    </xf>
    <xf numFmtId="0" fontId="2" fillId="16" borderId="17" xfId="0" applyFont="1" applyFill="1" applyBorder="1" applyAlignment="1">
      <alignment horizontal="left" vertical="center"/>
    </xf>
    <xf numFmtId="0" fontId="2" fillId="0" borderId="18" xfId="0" applyFont="1" applyBorder="1" applyAlignment="1">
      <alignment horizontal="left"/>
    </xf>
    <xf numFmtId="0" fontId="3" fillId="0" borderId="44" xfId="0" applyFont="1" applyBorder="1" applyAlignment="1">
      <alignment horizontal="left" vertical="center"/>
    </xf>
    <xf numFmtId="0" fontId="2" fillId="13" borderId="17" xfId="0" applyFont="1" applyFill="1" applyBorder="1" applyAlignment="1">
      <alignment horizontal="left" vertical="center"/>
    </xf>
    <xf numFmtId="0" fontId="3" fillId="0" borderId="64" xfId="0" applyFont="1" applyBorder="1" applyAlignment="1">
      <alignment vertical="center"/>
    </xf>
    <xf numFmtId="0" fontId="3" fillId="30" borderId="18" xfId="0" applyFont="1" applyFill="1" applyBorder="1" applyAlignment="1">
      <alignment vertical="center"/>
    </xf>
    <xf numFmtId="0" fontId="3" fillId="24" borderId="34" xfId="0" applyFont="1" applyFill="1" applyBorder="1" applyAlignment="1">
      <alignment vertical="center"/>
    </xf>
    <xf numFmtId="0" fontId="24" fillId="22" borderId="42" xfId="0" applyFont="1" applyFill="1" applyBorder="1" applyAlignment="1">
      <alignment vertical="center"/>
    </xf>
    <xf numFmtId="0" fontId="24" fillId="0" borderId="42" xfId="0" applyFont="1" applyBorder="1" applyAlignment="1">
      <alignment vertical="center"/>
    </xf>
    <xf numFmtId="0" fontId="42" fillId="0" borderId="36" xfId="0" applyFont="1" applyBorder="1" applyAlignment="1">
      <alignment vertical="center"/>
    </xf>
    <xf numFmtId="0" fontId="42" fillId="0" borderId="64" xfId="0" applyFont="1" applyBorder="1" applyAlignment="1">
      <alignment vertical="center"/>
    </xf>
    <xf numFmtId="0" fontId="42" fillId="0" borderId="0" xfId="0" applyFont="1" applyAlignment="1">
      <alignment horizontal="center" vertical="center"/>
    </xf>
    <xf numFmtId="0" fontId="43" fillId="0" borderId="65" xfId="0" applyFont="1" applyBorder="1" applyAlignment="1">
      <alignment horizontal="center" vertical="center"/>
    </xf>
    <xf numFmtId="0" fontId="44" fillId="0" borderId="34" xfId="0" applyFont="1" applyBorder="1" applyAlignment="1">
      <alignment horizontal="center"/>
    </xf>
    <xf numFmtId="0" fontId="45" fillId="0" borderId="34" xfId="0" applyFont="1" applyBorder="1" applyAlignment="1">
      <alignment horizontal="center"/>
    </xf>
    <xf numFmtId="1" fontId="45" fillId="7" borderId="36" xfId="0" applyNumberFormat="1" applyFont="1" applyFill="1" applyBorder="1" applyAlignment="1">
      <alignment horizontal="center"/>
    </xf>
    <xf numFmtId="0" fontId="46" fillId="0" borderId="34" xfId="0" applyFont="1" applyBorder="1" applyAlignment="1">
      <alignment horizontal="center"/>
    </xf>
    <xf numFmtId="0" fontId="47" fillId="0" borderId="35" xfId="0" applyFont="1" applyBorder="1" applyAlignment="1">
      <alignment horizontal="center"/>
    </xf>
    <xf numFmtId="1" fontId="48" fillId="0" borderId="18" xfId="0" applyNumberFormat="1" applyFont="1" applyBorder="1" applyAlignment="1">
      <alignment horizontal="center"/>
    </xf>
    <xf numFmtId="0" fontId="49" fillId="0" borderId="14" xfId="0" applyFont="1" applyBorder="1" applyAlignment="1">
      <alignment horizontal="left"/>
    </xf>
    <xf numFmtId="1" fontId="45" fillId="7" borderId="28" xfId="0" applyNumberFormat="1" applyFont="1" applyFill="1" applyBorder="1" applyAlignment="1">
      <alignment horizontal="center"/>
    </xf>
    <xf numFmtId="0" fontId="44" fillId="20" borderId="34" xfId="0" applyFont="1" applyFill="1" applyBorder="1" applyAlignment="1">
      <alignment horizontal="center"/>
    </xf>
    <xf numFmtId="0" fontId="12" fillId="20" borderId="6" xfId="0" applyFont="1" applyFill="1" applyBorder="1" applyAlignment="1">
      <alignment horizontal="center"/>
    </xf>
    <xf numFmtId="0" fontId="12" fillId="20" borderId="34" xfId="0" applyFont="1" applyFill="1" applyBorder="1" applyAlignment="1">
      <alignment horizontal="center"/>
    </xf>
    <xf numFmtId="0" fontId="3" fillId="20" borderId="42" xfId="0" applyFont="1" applyFill="1" applyBorder="1" applyAlignment="1">
      <alignment vertical="center"/>
    </xf>
    <xf numFmtId="0" fontId="3" fillId="0" borderId="66" xfId="0" applyFont="1" applyBorder="1" applyAlignment="1">
      <alignment vertical="center"/>
    </xf>
    <xf numFmtId="0" fontId="3" fillId="0" borderId="54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3" fillId="0" borderId="67" xfId="0" applyFont="1" applyBorder="1" applyAlignment="1">
      <alignment vertical="center"/>
    </xf>
    <xf numFmtId="0" fontId="3" fillId="0" borderId="68" xfId="0" applyFont="1" applyBorder="1" applyAlignment="1">
      <alignment vertical="center"/>
    </xf>
    <xf numFmtId="0" fontId="3" fillId="22" borderId="42" xfId="0" applyFont="1" applyFill="1" applyBorder="1" applyAlignment="1">
      <alignment horizontal="left" vertical="center"/>
    </xf>
    <xf numFmtId="0" fontId="22" fillId="0" borderId="69" xfId="0" applyFont="1" applyBorder="1" applyAlignment="1">
      <alignment horizontal="center" vertical="center"/>
    </xf>
    <xf numFmtId="0" fontId="12" fillId="19" borderId="6" xfId="0" applyFont="1" applyFill="1" applyBorder="1" applyAlignment="1">
      <alignment horizontal="center"/>
    </xf>
    <xf numFmtId="0" fontId="12" fillId="19" borderId="34" xfId="0" applyFont="1" applyFill="1" applyBorder="1" applyAlignment="1">
      <alignment horizontal="center"/>
    </xf>
    <xf numFmtId="0" fontId="12" fillId="31" borderId="34" xfId="0" applyFont="1" applyFill="1" applyBorder="1" applyAlignment="1">
      <alignment horizontal="center"/>
    </xf>
    <xf numFmtId="0" fontId="11" fillId="31" borderId="34" xfId="0" applyFont="1" applyFill="1" applyBorder="1" applyAlignment="1">
      <alignment horizontal="center"/>
    </xf>
    <xf numFmtId="0" fontId="45" fillId="31" borderId="34" xfId="0" applyFont="1" applyFill="1" applyBorder="1" applyAlignment="1">
      <alignment horizontal="center"/>
    </xf>
    <xf numFmtId="0" fontId="12" fillId="13" borderId="6" xfId="0" applyFont="1" applyFill="1" applyBorder="1" applyAlignment="1">
      <alignment horizontal="center"/>
    </xf>
    <xf numFmtId="0" fontId="12" fillId="13" borderId="34" xfId="0" applyFont="1" applyFill="1" applyBorder="1" applyAlignment="1">
      <alignment horizontal="center"/>
    </xf>
    <xf numFmtId="0" fontId="44" fillId="13" borderId="34" xfId="0" applyFont="1" applyFill="1" applyBorder="1" applyAlignment="1">
      <alignment horizontal="center"/>
    </xf>
    <xf numFmtId="0" fontId="2" fillId="0" borderId="70" xfId="0" applyFont="1" applyBorder="1" applyAlignment="1">
      <alignment horizontal="left"/>
    </xf>
    <xf numFmtId="0" fontId="3" fillId="14" borderId="61" xfId="0" applyFont="1" applyFill="1" applyBorder="1" applyAlignment="1">
      <alignment horizontal="left" vertical="center"/>
    </xf>
    <xf numFmtId="0" fontId="12" fillId="12" borderId="6" xfId="0" applyFont="1" applyFill="1" applyBorder="1" applyAlignment="1">
      <alignment horizontal="center"/>
    </xf>
    <xf numFmtId="0" fontId="12" fillId="12" borderId="34" xfId="0" applyFont="1" applyFill="1" applyBorder="1" applyAlignment="1">
      <alignment horizontal="center"/>
    </xf>
    <xf numFmtId="0" fontId="44" fillId="12" borderId="34" xfId="0" applyFont="1" applyFill="1" applyBorder="1" applyAlignment="1">
      <alignment horizontal="center"/>
    </xf>
    <xf numFmtId="0" fontId="2" fillId="0" borderId="71" xfId="0" applyFont="1" applyBorder="1" applyAlignment="1">
      <alignment horizontal="left"/>
    </xf>
    <xf numFmtId="0" fontId="0" fillId="0" borderId="72" xfId="0" applyBorder="1"/>
    <xf numFmtId="0" fontId="50" fillId="0" borderId="34" xfId="0" applyFont="1" applyBorder="1" applyAlignment="1">
      <alignment horizontal="center" vertical="center"/>
    </xf>
    <xf numFmtId="0" fontId="12" fillId="16" borderId="6" xfId="0" applyFont="1" applyFill="1" applyBorder="1" applyAlignment="1">
      <alignment horizontal="center"/>
    </xf>
    <xf numFmtId="0" fontId="44" fillId="16" borderId="34" xfId="0" applyFont="1" applyFill="1" applyBorder="1" applyAlignment="1">
      <alignment horizontal="center"/>
    </xf>
    <xf numFmtId="0" fontId="3" fillId="0" borderId="73" xfId="0" applyFont="1" applyBorder="1" applyAlignment="1">
      <alignment horizontal="left" vertical="center"/>
    </xf>
    <xf numFmtId="0" fontId="3" fillId="13" borderId="73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" fillId="0" borderId="74" xfId="0" applyFont="1" applyBorder="1" applyAlignment="1">
      <alignment vertical="center"/>
    </xf>
    <xf numFmtId="0" fontId="3" fillId="26" borderId="73" xfId="0" applyFont="1" applyFill="1" applyBorder="1" applyAlignment="1">
      <alignment horizontal="left" vertical="center"/>
    </xf>
    <xf numFmtId="0" fontId="12" fillId="33" borderId="6" xfId="0" applyFont="1" applyFill="1" applyBorder="1" applyAlignment="1">
      <alignment horizontal="center"/>
    </xf>
    <xf numFmtId="0" fontId="44" fillId="33" borderId="34" xfId="0" applyFont="1" applyFill="1" applyBorder="1" applyAlignment="1">
      <alignment horizontal="center"/>
    </xf>
    <xf numFmtId="0" fontId="12" fillId="33" borderId="34" xfId="0" applyFont="1" applyFill="1" applyBorder="1" applyAlignment="1">
      <alignment horizontal="center"/>
    </xf>
    <xf numFmtId="0" fontId="12" fillId="32" borderId="73" xfId="0" applyFont="1" applyFill="1" applyBorder="1" applyAlignment="1">
      <alignment horizontal="left" vertical="center"/>
    </xf>
    <xf numFmtId="0" fontId="12" fillId="0" borderId="73" xfId="0" applyFont="1" applyBorder="1" applyAlignment="1">
      <alignment horizontal="left" vertical="center"/>
    </xf>
    <xf numFmtId="0" fontId="3" fillId="20" borderId="73" xfId="0" applyFont="1" applyFill="1" applyBorder="1" applyAlignment="1">
      <alignment horizontal="left" vertical="center"/>
    </xf>
    <xf numFmtId="0" fontId="3" fillId="0" borderId="76" xfId="0" applyFont="1" applyBorder="1" applyAlignment="1">
      <alignment vertical="center"/>
    </xf>
    <xf numFmtId="0" fontId="22" fillId="0" borderId="77" xfId="0" applyFont="1" applyBorder="1" applyAlignment="1">
      <alignment horizontal="center" vertical="center"/>
    </xf>
    <xf numFmtId="0" fontId="3" fillId="30" borderId="73" xfId="0" applyFont="1" applyFill="1" applyBorder="1" applyAlignment="1">
      <alignment horizontal="left" vertical="center"/>
    </xf>
    <xf numFmtId="0" fontId="24" fillId="22" borderId="73" xfId="0" applyFont="1" applyFill="1" applyBorder="1" applyAlignment="1">
      <alignment horizontal="left" vertical="center"/>
    </xf>
    <xf numFmtId="0" fontId="24" fillId="0" borderId="73" xfId="0" applyFont="1" applyBorder="1" applyAlignment="1">
      <alignment horizontal="left" vertical="center"/>
    </xf>
    <xf numFmtId="0" fontId="3" fillId="0" borderId="75" xfId="0" applyFont="1" applyBorder="1" applyAlignment="1">
      <alignment vertical="center"/>
    </xf>
    <xf numFmtId="0" fontId="3" fillId="24" borderId="36" xfId="309" applyFont="1" applyFill="1" applyBorder="1" applyAlignment="1">
      <alignment horizontal="left" vertical="center"/>
    </xf>
    <xf numFmtId="0" fontId="3" fillId="14" borderId="73" xfId="0" applyFont="1" applyFill="1" applyBorder="1" applyAlignment="1">
      <alignment horizontal="left" vertical="center"/>
    </xf>
    <xf numFmtId="2" fontId="51" fillId="0" borderId="34" xfId="0" applyNumberFormat="1" applyFont="1" applyBorder="1" applyAlignment="1">
      <alignment horizontal="left" vertical="center"/>
    </xf>
    <xf numFmtId="2" fontId="52" fillId="0" borderId="34" xfId="0" applyNumberFormat="1" applyFont="1" applyBorder="1" applyAlignment="1">
      <alignment horizontal="left" vertical="center"/>
    </xf>
    <xf numFmtId="0" fontId="52" fillId="0" borderId="0" xfId="0" applyFont="1"/>
    <xf numFmtId="0" fontId="51" fillId="0" borderId="0" xfId="0" applyFont="1" applyAlignment="1">
      <alignment horizontal="center" vertical="center"/>
    </xf>
    <xf numFmtId="0" fontId="12" fillId="16" borderId="34" xfId="0" applyFont="1" applyFill="1" applyBorder="1" applyAlignment="1">
      <alignment horizontal="center"/>
    </xf>
    <xf numFmtId="0" fontId="3" fillId="32" borderId="73" xfId="0" applyFont="1" applyFill="1" applyBorder="1" applyAlignment="1">
      <alignment horizontal="left" vertical="center"/>
    </xf>
    <xf numFmtId="0" fontId="3" fillId="0" borderId="78" xfId="0" applyFont="1" applyBorder="1" applyAlignment="1">
      <alignment vertical="center"/>
    </xf>
    <xf numFmtId="164" fontId="3" fillId="20" borderId="73" xfId="0" applyNumberFormat="1" applyFont="1" applyFill="1" applyBorder="1" applyAlignment="1">
      <alignment horizontal="left" vertical="center"/>
    </xf>
    <xf numFmtId="164" fontId="3" fillId="0" borderId="73" xfId="0" applyNumberFormat="1" applyFont="1" applyBorder="1" applyAlignment="1">
      <alignment horizontal="left" vertical="center"/>
    </xf>
    <xf numFmtId="0" fontId="24" fillId="23" borderId="73" xfId="0" applyFont="1" applyFill="1" applyBorder="1" applyAlignment="1">
      <alignment horizontal="left" vertical="center"/>
    </xf>
    <xf numFmtId="0" fontId="24" fillId="34" borderId="73" xfId="0" applyFont="1" applyFill="1" applyBorder="1" applyAlignment="1">
      <alignment horizontal="left" vertical="center"/>
    </xf>
    <xf numFmtId="0" fontId="24" fillId="24" borderId="34" xfId="309" applyFont="1" applyFill="1" applyBorder="1" applyAlignment="1">
      <alignment horizontal="left" vertical="center"/>
    </xf>
    <xf numFmtId="0" fontId="24" fillId="0" borderId="34" xfId="309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6" xfId="0" applyFont="1" applyBorder="1" applyAlignment="1">
      <alignment horizontal="left" wrapText="1"/>
    </xf>
    <xf numFmtId="0" fontId="49" fillId="0" borderId="6" xfId="0" applyFont="1" applyBorder="1" applyAlignment="1">
      <alignment horizontal="left"/>
    </xf>
    <xf numFmtId="0" fontId="49" fillId="0" borderId="34" xfId="0" applyFont="1" applyBorder="1" applyAlignment="1">
      <alignment horizontal="left"/>
    </xf>
    <xf numFmtId="0" fontId="2" fillId="30" borderId="14" xfId="0" applyFont="1" applyFill="1" applyBorder="1" applyAlignment="1">
      <alignment horizontal="left" vertical="center"/>
    </xf>
    <xf numFmtId="1" fontId="45" fillId="7" borderId="6" xfId="0" applyNumberFormat="1" applyFont="1" applyFill="1" applyBorder="1" applyAlignment="1">
      <alignment horizontal="center"/>
    </xf>
    <xf numFmtId="0" fontId="46" fillId="0" borderId="6" xfId="0" applyFont="1" applyBorder="1" applyAlignment="1">
      <alignment horizontal="center"/>
    </xf>
    <xf numFmtId="0" fontId="47" fillId="0" borderId="7" xfId="0" applyFont="1" applyBorder="1" applyAlignment="1">
      <alignment horizontal="center"/>
    </xf>
    <xf numFmtId="0" fontId="2" fillId="0" borderId="28" xfId="0" applyFont="1" applyBorder="1" applyAlignment="1">
      <alignment horizontal="left" vertical="center"/>
    </xf>
    <xf numFmtId="0" fontId="2" fillId="0" borderId="28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2" fillId="0" borderId="14" xfId="0" applyFont="1" applyBorder="1" applyAlignment="1">
      <alignment vertical="center"/>
    </xf>
    <xf numFmtId="0" fontId="2" fillId="11" borderId="17" xfId="0" applyFont="1" applyFill="1" applyBorder="1" applyAlignment="1">
      <alignment horizontal="left" vertical="center"/>
    </xf>
    <xf numFmtId="0" fontId="2" fillId="15" borderId="10" xfId="0" applyFont="1" applyFill="1" applyBorder="1" applyAlignment="1">
      <alignment horizontal="left" vertical="center"/>
    </xf>
    <xf numFmtId="0" fontId="44" fillId="20" borderId="6" xfId="0" applyFont="1" applyFill="1" applyBorder="1" applyAlignment="1">
      <alignment horizontal="center"/>
    </xf>
    <xf numFmtId="0" fontId="44" fillId="0" borderId="6" xfId="0" applyFont="1" applyBorder="1" applyAlignment="1">
      <alignment horizontal="center"/>
    </xf>
    <xf numFmtId="1" fontId="17" fillId="7" borderId="36" xfId="0" applyNumberFormat="1" applyFont="1" applyFill="1" applyBorder="1" applyAlignment="1">
      <alignment horizontal="center"/>
    </xf>
    <xf numFmtId="0" fontId="47" fillId="0" borderId="17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1" fillId="28" borderId="1" xfId="0" applyFont="1" applyFill="1" applyBorder="1" applyAlignment="1">
      <alignment horizontal="center" vertical="center" wrapText="1"/>
    </xf>
    <xf numFmtId="0" fontId="25" fillId="27" borderId="15" xfId="0" applyFont="1" applyFill="1" applyBorder="1" applyAlignment="1">
      <alignment horizontal="center" vertical="center" wrapText="1"/>
    </xf>
    <xf numFmtId="0" fontId="25" fillId="27" borderId="16" xfId="0" applyFont="1" applyFill="1" applyBorder="1" applyAlignment="1">
      <alignment horizontal="center" vertical="center" wrapText="1"/>
    </xf>
    <xf numFmtId="0" fontId="25" fillId="27" borderId="2" xfId="0" applyFont="1" applyFill="1" applyBorder="1" applyAlignment="1">
      <alignment horizontal="center" vertical="center" wrapText="1"/>
    </xf>
    <xf numFmtId="0" fontId="27" fillId="27" borderId="50" xfId="0" applyFont="1" applyFill="1" applyBorder="1" applyAlignment="1">
      <alignment horizontal="center" vertical="center"/>
    </xf>
    <xf numFmtId="0" fontId="27" fillId="27" borderId="38" xfId="0" applyFont="1" applyFill="1" applyBorder="1" applyAlignment="1">
      <alignment horizontal="center" vertical="center"/>
    </xf>
    <xf numFmtId="0" fontId="30" fillId="27" borderId="50" xfId="0" applyFont="1" applyFill="1" applyBorder="1" applyAlignment="1">
      <alignment horizontal="center" vertical="center"/>
    </xf>
    <xf numFmtId="0" fontId="30" fillId="27" borderId="38" xfId="0" applyFont="1" applyFill="1" applyBorder="1" applyAlignment="1">
      <alignment horizontal="center" vertical="center"/>
    </xf>
    <xf numFmtId="0" fontId="3" fillId="25" borderId="45" xfId="0" applyFont="1" applyFill="1" applyBorder="1" applyAlignment="1">
      <alignment horizontal="center" vertical="center" wrapText="1"/>
    </xf>
    <xf numFmtId="0" fontId="3" fillId="25" borderId="32" xfId="0" applyFont="1" applyFill="1" applyBorder="1" applyAlignment="1">
      <alignment horizontal="center" vertical="center" wrapText="1"/>
    </xf>
    <xf numFmtId="0" fontId="3" fillId="14" borderId="45" xfId="0" applyFont="1" applyFill="1" applyBorder="1" applyAlignment="1">
      <alignment horizontal="center" vertical="center"/>
    </xf>
    <xf numFmtId="0" fontId="3" fillId="14" borderId="32" xfId="0" applyFont="1" applyFill="1" applyBorder="1" applyAlignment="1">
      <alignment horizontal="center" vertical="center"/>
    </xf>
    <xf numFmtId="0" fontId="3" fillId="13" borderId="37" xfId="0" applyFont="1" applyFill="1" applyBorder="1" applyAlignment="1">
      <alignment horizontal="center" vertical="center"/>
    </xf>
    <xf numFmtId="0" fontId="3" fillId="13" borderId="0" xfId="0" applyFont="1" applyFill="1" applyAlignment="1">
      <alignment horizontal="center" vertical="center"/>
    </xf>
    <xf numFmtId="0" fontId="3" fillId="19" borderId="37" xfId="0" applyFont="1" applyFill="1" applyBorder="1" applyAlignment="1">
      <alignment horizontal="center" vertical="center"/>
    </xf>
    <xf numFmtId="0" fontId="3" fillId="19" borderId="0" xfId="0" applyFont="1" applyFill="1" applyAlignment="1">
      <alignment horizontal="center" vertical="center"/>
    </xf>
    <xf numFmtId="0" fontId="3" fillId="20" borderId="45" xfId="0" applyFont="1" applyFill="1" applyBorder="1" applyAlignment="1">
      <alignment horizontal="center" vertical="center"/>
    </xf>
    <xf numFmtId="0" fontId="3" fillId="20" borderId="32" xfId="0" applyFont="1" applyFill="1" applyBorder="1" applyAlignment="1">
      <alignment horizontal="center" vertical="center"/>
    </xf>
    <xf numFmtId="0" fontId="3" fillId="21" borderId="45" xfId="0" applyFont="1" applyFill="1" applyBorder="1" applyAlignment="1">
      <alignment horizontal="center" vertical="center"/>
    </xf>
    <xf numFmtId="0" fontId="3" fillId="21" borderId="32" xfId="0" applyFont="1" applyFill="1" applyBorder="1" applyAlignment="1">
      <alignment horizontal="center" vertical="center"/>
    </xf>
    <xf numFmtId="0" fontId="3" fillId="24" borderId="45" xfId="0" applyFont="1" applyFill="1" applyBorder="1" applyAlignment="1">
      <alignment horizontal="center" vertical="center"/>
    </xf>
    <xf numFmtId="0" fontId="3" fillId="24" borderId="32" xfId="0" applyFont="1" applyFill="1" applyBorder="1" applyAlignment="1">
      <alignment horizontal="center" vertical="center"/>
    </xf>
    <xf numFmtId="0" fontId="30" fillId="27" borderId="35" xfId="0" applyFont="1" applyFill="1" applyBorder="1" applyAlignment="1">
      <alignment horizontal="center" vertical="center"/>
    </xf>
    <xf numFmtId="0" fontId="30" fillId="27" borderId="36" xfId="0" applyFont="1" applyFill="1" applyBorder="1" applyAlignment="1">
      <alignment horizontal="center" vertical="center"/>
    </xf>
  </cellXfs>
  <cellStyles count="310">
    <cellStyle name="Excel Built-in Normal" xfId="309" xr:uid="{00000000-0005-0000-0000-000000000000}"/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" xfId="135" builtinId="8" hidden="1"/>
    <cellStyle name="Lien hypertexte" xfId="137" builtinId="8" hidden="1"/>
    <cellStyle name="Lien hypertexte" xfId="139" builtinId="8" hidden="1"/>
    <cellStyle name="Lien hypertexte" xfId="141" builtinId="8" hidden="1"/>
    <cellStyle name="Lien hypertexte" xfId="143" builtinId="8" hidden="1"/>
    <cellStyle name="Lien hypertexte" xfId="145" builtinId="8" hidden="1"/>
    <cellStyle name="Lien hypertexte" xfId="147" builtinId="8" hidden="1"/>
    <cellStyle name="Lien hypertexte" xfId="149" builtinId="8" hidden="1"/>
    <cellStyle name="Lien hypertexte" xfId="151" builtinId="8" hidden="1"/>
    <cellStyle name="Lien hypertexte" xfId="153" builtinId="8" hidden="1"/>
    <cellStyle name="Lien hypertexte" xfId="155" builtinId="8" hidden="1"/>
    <cellStyle name="Lien hypertexte" xfId="157" builtinId="8" hidden="1"/>
    <cellStyle name="Lien hypertexte" xfId="159" builtinId="8" hidden="1"/>
    <cellStyle name="Lien hypertexte" xfId="161" builtinId="8" hidden="1"/>
    <cellStyle name="Lien hypertexte" xfId="163" builtinId="8" hidden="1"/>
    <cellStyle name="Lien hypertexte" xfId="165" builtinId="8" hidden="1"/>
    <cellStyle name="Lien hypertexte" xfId="167" builtinId="8" hidden="1"/>
    <cellStyle name="Lien hypertexte" xfId="169" builtinId="8" hidden="1"/>
    <cellStyle name="Lien hypertexte" xfId="171" builtinId="8" hidden="1"/>
    <cellStyle name="Lien hypertexte" xfId="173" builtinId="8" hidden="1"/>
    <cellStyle name="Lien hypertexte" xfId="175" builtinId="8" hidden="1"/>
    <cellStyle name="Lien hypertexte" xfId="177" builtinId="8" hidden="1"/>
    <cellStyle name="Lien hypertexte" xfId="179" builtinId="8" hidden="1"/>
    <cellStyle name="Lien hypertexte" xfId="181" builtinId="8" hidden="1"/>
    <cellStyle name="Lien hypertexte" xfId="183" builtinId="8" hidden="1"/>
    <cellStyle name="Lien hypertexte" xfId="185" builtinId="8" hidden="1"/>
    <cellStyle name="Lien hypertexte" xfId="187" builtinId="8" hidden="1"/>
    <cellStyle name="Lien hypertexte" xfId="189" builtinId="8" hidden="1"/>
    <cellStyle name="Lien hypertexte" xfId="191" builtinId="8" hidden="1"/>
    <cellStyle name="Lien hypertexte" xfId="193" builtinId="8" hidden="1"/>
    <cellStyle name="Lien hypertexte" xfId="195" builtinId="8" hidden="1"/>
    <cellStyle name="Lien hypertexte" xfId="197" builtinId="8" hidden="1"/>
    <cellStyle name="Lien hypertexte" xfId="199" builtinId="8" hidden="1"/>
    <cellStyle name="Lien hypertexte" xfId="201" builtinId="8" hidden="1"/>
    <cellStyle name="Lien hypertexte" xfId="203" builtinId="8" hidden="1"/>
    <cellStyle name="Lien hypertexte" xfId="205" builtinId="8" hidden="1"/>
    <cellStyle name="Lien hypertexte" xfId="207" builtinId="8" hidden="1"/>
    <cellStyle name="Lien hypertexte" xfId="209" builtinId="8" hidden="1"/>
    <cellStyle name="Lien hypertexte" xfId="211" builtinId="8" hidden="1"/>
    <cellStyle name="Lien hypertexte" xfId="213" builtinId="8" hidden="1"/>
    <cellStyle name="Lien hypertexte" xfId="215" builtinId="8" hidden="1"/>
    <cellStyle name="Lien hypertexte" xfId="217" builtinId="8" hidden="1"/>
    <cellStyle name="Lien hypertexte" xfId="219" builtinId="8" hidden="1"/>
    <cellStyle name="Lien hypertexte" xfId="221" builtinId="8" hidden="1"/>
    <cellStyle name="Lien hypertexte" xfId="223" builtinId="8" hidden="1"/>
    <cellStyle name="Lien hypertexte" xfId="225" builtinId="8" hidden="1"/>
    <cellStyle name="Lien hypertexte" xfId="227" builtinId="8" hidden="1"/>
    <cellStyle name="Lien hypertexte" xfId="229" builtinId="8" hidden="1"/>
    <cellStyle name="Lien hypertexte" xfId="231" builtinId="8" hidden="1"/>
    <cellStyle name="Lien hypertexte" xfId="233" builtinId="8" hidden="1"/>
    <cellStyle name="Lien hypertexte" xfId="235" builtinId="8" hidden="1"/>
    <cellStyle name="Lien hypertexte" xfId="237" builtinId="8" hidden="1"/>
    <cellStyle name="Lien hypertexte" xfId="239" builtinId="8" hidden="1"/>
    <cellStyle name="Lien hypertexte" xfId="241" builtinId="8" hidden="1"/>
    <cellStyle name="Lien hypertexte" xfId="243" builtinId="8" hidden="1"/>
    <cellStyle name="Lien hypertexte" xfId="245" builtinId="8" hidden="1"/>
    <cellStyle name="Lien hypertexte" xfId="247" builtinId="8" hidden="1"/>
    <cellStyle name="Lien hypertexte" xfId="249" builtinId="8" hidden="1"/>
    <cellStyle name="Lien hypertexte" xfId="251" builtinId="8" hidden="1"/>
    <cellStyle name="Lien hypertexte" xfId="253" builtinId="8" hidden="1"/>
    <cellStyle name="Lien hypertexte" xfId="255" builtinId="8" hidden="1"/>
    <cellStyle name="Lien hypertexte" xfId="257" builtinId="8" hidden="1"/>
    <cellStyle name="Lien hypertexte" xfId="259" builtinId="8" hidden="1"/>
    <cellStyle name="Lien hypertexte" xfId="261" builtinId="8" hidden="1"/>
    <cellStyle name="Lien hypertexte" xfId="263" builtinId="8" hidden="1"/>
    <cellStyle name="Lien hypertexte" xfId="265" builtinId="8" hidden="1"/>
    <cellStyle name="Lien hypertexte" xfId="267" builtinId="8" hidden="1"/>
    <cellStyle name="Lien hypertexte" xfId="269" builtinId="8" hidden="1"/>
    <cellStyle name="Lien hypertexte" xfId="271" builtinId="8" hidden="1"/>
    <cellStyle name="Lien hypertexte" xfId="273" builtinId="8" hidden="1"/>
    <cellStyle name="Lien hypertexte" xfId="275" builtinId="8" hidden="1"/>
    <cellStyle name="Lien hypertexte" xfId="277" builtinId="8" hidden="1"/>
    <cellStyle name="Lien hypertexte" xfId="279" builtinId="8" hidden="1"/>
    <cellStyle name="Lien hypertexte" xfId="281" builtinId="8" hidden="1"/>
    <cellStyle name="Lien hypertexte" xfId="283" builtinId="8" hidden="1"/>
    <cellStyle name="Lien hypertexte" xfId="285" builtinId="8" hidden="1"/>
    <cellStyle name="Lien hypertexte" xfId="287" builtinId="8" hidden="1"/>
    <cellStyle name="Lien hypertexte" xfId="289" builtinId="8" hidden="1"/>
    <cellStyle name="Lien hypertexte" xfId="291" builtinId="8" hidden="1"/>
    <cellStyle name="Lien hypertexte" xfId="293" builtinId="8" hidden="1"/>
    <cellStyle name="Lien hypertexte" xfId="295" builtinId="8" hidden="1"/>
    <cellStyle name="Lien hypertexte" xfId="297" builtinId="8" hidden="1"/>
    <cellStyle name="Lien hypertexte" xfId="299" builtinId="8" hidden="1"/>
    <cellStyle name="Lien hypertexte" xfId="301" builtinId="8" hidden="1"/>
    <cellStyle name="Lien hypertexte" xfId="303" builtinId="8" hidden="1"/>
    <cellStyle name="Lien hypertexte" xfId="305" builtinId="8" hidden="1"/>
    <cellStyle name="Lien hypertexte" xfId="307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Lien hypertexte visité" xfId="136" builtinId="9" hidden="1"/>
    <cellStyle name="Lien hypertexte visité" xfId="138" builtinId="9" hidden="1"/>
    <cellStyle name="Lien hypertexte visité" xfId="140" builtinId="9" hidden="1"/>
    <cellStyle name="Lien hypertexte visité" xfId="142" builtinId="9" hidden="1"/>
    <cellStyle name="Lien hypertexte visité" xfId="144" builtinId="9" hidden="1"/>
    <cellStyle name="Lien hypertexte visité" xfId="146" builtinId="9" hidden="1"/>
    <cellStyle name="Lien hypertexte visité" xfId="148" builtinId="9" hidden="1"/>
    <cellStyle name="Lien hypertexte visité" xfId="150" builtinId="9" hidden="1"/>
    <cellStyle name="Lien hypertexte visité" xfId="152" builtinId="9" hidden="1"/>
    <cellStyle name="Lien hypertexte visité" xfId="154" builtinId="9" hidden="1"/>
    <cellStyle name="Lien hypertexte visité" xfId="156" builtinId="9" hidden="1"/>
    <cellStyle name="Lien hypertexte visité" xfId="158" builtinId="9" hidden="1"/>
    <cellStyle name="Lien hypertexte visité" xfId="160" builtinId="9" hidden="1"/>
    <cellStyle name="Lien hypertexte visité" xfId="162" builtinId="9" hidden="1"/>
    <cellStyle name="Lien hypertexte visité" xfId="164" builtinId="9" hidden="1"/>
    <cellStyle name="Lien hypertexte visité" xfId="166" builtinId="9" hidden="1"/>
    <cellStyle name="Lien hypertexte visité" xfId="168" builtinId="9" hidden="1"/>
    <cellStyle name="Lien hypertexte visité" xfId="170" builtinId="9" hidden="1"/>
    <cellStyle name="Lien hypertexte visité" xfId="172" builtinId="9" hidden="1"/>
    <cellStyle name="Lien hypertexte visité" xfId="174" builtinId="9" hidden="1"/>
    <cellStyle name="Lien hypertexte visité" xfId="176" builtinId="9" hidden="1"/>
    <cellStyle name="Lien hypertexte visité" xfId="178" builtinId="9" hidden="1"/>
    <cellStyle name="Lien hypertexte visité" xfId="180" builtinId="9" hidden="1"/>
    <cellStyle name="Lien hypertexte visité" xfId="182" builtinId="9" hidden="1"/>
    <cellStyle name="Lien hypertexte visité" xfId="184" builtinId="9" hidden="1"/>
    <cellStyle name="Lien hypertexte visité" xfId="186" builtinId="9" hidden="1"/>
    <cellStyle name="Lien hypertexte visité" xfId="188" builtinId="9" hidden="1"/>
    <cellStyle name="Lien hypertexte visité" xfId="190" builtinId="9" hidden="1"/>
    <cellStyle name="Lien hypertexte visité" xfId="192" builtinId="9" hidden="1"/>
    <cellStyle name="Lien hypertexte visité" xfId="194" builtinId="9" hidden="1"/>
    <cellStyle name="Lien hypertexte visité" xfId="196" builtinId="9" hidden="1"/>
    <cellStyle name="Lien hypertexte visité" xfId="198" builtinId="9" hidden="1"/>
    <cellStyle name="Lien hypertexte visité" xfId="200" builtinId="9" hidden="1"/>
    <cellStyle name="Lien hypertexte visité" xfId="202" builtinId="9" hidden="1"/>
    <cellStyle name="Lien hypertexte visité" xfId="204" builtinId="9" hidden="1"/>
    <cellStyle name="Lien hypertexte visité" xfId="206" builtinId="9" hidden="1"/>
    <cellStyle name="Lien hypertexte visité" xfId="208" builtinId="9" hidden="1"/>
    <cellStyle name="Lien hypertexte visité" xfId="210" builtinId="9" hidden="1"/>
    <cellStyle name="Lien hypertexte visité" xfId="212" builtinId="9" hidden="1"/>
    <cellStyle name="Lien hypertexte visité" xfId="214" builtinId="9" hidden="1"/>
    <cellStyle name="Lien hypertexte visité" xfId="216" builtinId="9" hidden="1"/>
    <cellStyle name="Lien hypertexte visité" xfId="218" builtinId="9" hidden="1"/>
    <cellStyle name="Lien hypertexte visité" xfId="220" builtinId="9" hidden="1"/>
    <cellStyle name="Lien hypertexte visité" xfId="222" builtinId="9" hidden="1"/>
    <cellStyle name="Lien hypertexte visité" xfId="224" builtinId="9" hidden="1"/>
    <cellStyle name="Lien hypertexte visité" xfId="226" builtinId="9" hidden="1"/>
    <cellStyle name="Lien hypertexte visité" xfId="228" builtinId="9" hidden="1"/>
    <cellStyle name="Lien hypertexte visité" xfId="230" builtinId="9" hidden="1"/>
    <cellStyle name="Lien hypertexte visité" xfId="232" builtinId="9" hidden="1"/>
    <cellStyle name="Lien hypertexte visité" xfId="234" builtinId="9" hidden="1"/>
    <cellStyle name="Lien hypertexte visité" xfId="236" builtinId="9" hidden="1"/>
    <cellStyle name="Lien hypertexte visité" xfId="238" builtinId="9" hidden="1"/>
    <cellStyle name="Lien hypertexte visité" xfId="240" builtinId="9" hidden="1"/>
    <cellStyle name="Lien hypertexte visité" xfId="242" builtinId="9" hidden="1"/>
    <cellStyle name="Lien hypertexte visité" xfId="244" builtinId="9" hidden="1"/>
    <cellStyle name="Lien hypertexte visité" xfId="246" builtinId="9" hidden="1"/>
    <cellStyle name="Lien hypertexte visité" xfId="248" builtinId="9" hidden="1"/>
    <cellStyle name="Lien hypertexte visité" xfId="250" builtinId="9" hidden="1"/>
    <cellStyle name="Lien hypertexte visité" xfId="252" builtinId="9" hidden="1"/>
    <cellStyle name="Lien hypertexte visité" xfId="254" builtinId="9" hidden="1"/>
    <cellStyle name="Lien hypertexte visité" xfId="256" builtinId="9" hidden="1"/>
    <cellStyle name="Lien hypertexte visité" xfId="258" builtinId="9" hidden="1"/>
    <cellStyle name="Lien hypertexte visité" xfId="260" builtinId="9" hidden="1"/>
    <cellStyle name="Lien hypertexte visité" xfId="262" builtinId="9" hidden="1"/>
    <cellStyle name="Lien hypertexte visité" xfId="264" builtinId="9" hidden="1"/>
    <cellStyle name="Lien hypertexte visité" xfId="266" builtinId="9" hidden="1"/>
    <cellStyle name="Lien hypertexte visité" xfId="268" builtinId="9" hidden="1"/>
    <cellStyle name="Lien hypertexte visité" xfId="270" builtinId="9" hidden="1"/>
    <cellStyle name="Lien hypertexte visité" xfId="272" builtinId="9" hidden="1"/>
    <cellStyle name="Lien hypertexte visité" xfId="274" builtinId="9" hidden="1"/>
    <cellStyle name="Lien hypertexte visité" xfId="276" builtinId="9" hidden="1"/>
    <cellStyle name="Lien hypertexte visité" xfId="278" builtinId="9" hidden="1"/>
    <cellStyle name="Lien hypertexte visité" xfId="280" builtinId="9" hidden="1"/>
    <cellStyle name="Lien hypertexte visité" xfId="282" builtinId="9" hidden="1"/>
    <cellStyle name="Lien hypertexte visité" xfId="284" builtinId="9" hidden="1"/>
    <cellStyle name="Lien hypertexte visité" xfId="286" builtinId="9" hidden="1"/>
    <cellStyle name="Lien hypertexte visité" xfId="288" builtinId="9" hidden="1"/>
    <cellStyle name="Lien hypertexte visité" xfId="290" builtinId="9" hidden="1"/>
    <cellStyle name="Lien hypertexte visité" xfId="292" builtinId="9" hidden="1"/>
    <cellStyle name="Lien hypertexte visité" xfId="294" builtinId="9" hidden="1"/>
    <cellStyle name="Lien hypertexte visité" xfId="296" builtinId="9" hidden="1"/>
    <cellStyle name="Lien hypertexte visité" xfId="298" builtinId="9" hidden="1"/>
    <cellStyle name="Lien hypertexte visité" xfId="300" builtinId="9" hidden="1"/>
    <cellStyle name="Lien hypertexte visité" xfId="302" builtinId="9" hidden="1"/>
    <cellStyle name="Lien hypertexte visité" xfId="304" builtinId="9" hidden="1"/>
    <cellStyle name="Lien hypertexte visité" xfId="306" builtinId="9" hidden="1"/>
    <cellStyle name="Lien hypertexte visité" xfId="308" builtinId="9" hidden="1"/>
    <cellStyle name="Normal" xfId="0" builtinId="0"/>
  </cellStyles>
  <dxfs count="36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medium">
          <color indexed="8"/>
        </left>
        <right style="medium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theme="5" tint="0.3999755851924192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theme="5" tint="0.3999755851924192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theme="2" tint="-0.49998474074526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theme="2" tint="-0.49998474074526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charset val="1"/>
        <scheme val="none"/>
      </font>
      <fill>
        <patternFill patternType="solid">
          <fgColor indexed="64"/>
          <bgColor theme="3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charset val="1"/>
        <scheme val="none"/>
      </font>
      <fill>
        <patternFill patternType="solid">
          <fgColor indexed="64"/>
          <bgColor theme="3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mic Sans MS"/>
        <scheme val="none"/>
      </font>
      <fill>
        <patternFill patternType="solid">
          <fgColor indexed="64"/>
          <bgColor theme="3" tint="0.3999755851924192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theme="9" tint="0.3999755851924192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medium">
          <color indexed="8"/>
        </left>
        <right style="medium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theme="5" tint="0.3999755851924192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theme="5" tint="0.3999755851924192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theme="2" tint="-0.49998474074526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theme="2" tint="-0.49998474074526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theme="3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theme="3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rgb="FF92D05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mic Sans MS"/>
        <scheme val="none"/>
      </font>
      <fill>
        <patternFill patternType="solid">
          <fgColor indexed="64"/>
          <bgColor theme="3" tint="0.3999755851924192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medium">
          <color indexed="8"/>
        </left>
        <right style="medium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theme="5" tint="0.3999755851924192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theme="5" tint="0.3999755851924192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family val="4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8"/>
        </left>
        <right style="medium">
          <color indexed="8"/>
        </right>
        <top/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8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family val="4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8"/>
        </left>
        <right style="medium">
          <color indexed="8"/>
        </right>
        <top/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family val="4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8"/>
        </left>
        <right style="medium">
          <color indexed="8"/>
        </right>
        <top/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mic Sans MS"/>
        <scheme val="none"/>
      </font>
      <fill>
        <patternFill patternType="solid">
          <fgColor indexed="64"/>
          <bgColor theme="3" tint="0.3999755851924192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family val="4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8"/>
        </left>
        <right style="medium">
          <color indexed="8"/>
        </right>
        <top/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mic Sans MS"/>
        <family val="4"/>
        <scheme val="none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mic Sans MS"/>
        <family val="4"/>
        <scheme val="none"/>
      </font>
      <fill>
        <patternFill patternType="solid">
          <fgColor indexed="64"/>
          <bgColor theme="9" tint="0.3999755851924192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medium">
          <color indexed="8"/>
        </left>
        <right style="medium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theme="5" tint="0.3999755851924192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theme="5" tint="0.3999755851924192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theme="2" tint="-0.499984740745262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theme="2" tint="-0.499984740745262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  <border outline="0">
        <right style="medium">
          <color indexed="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theme="3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theme="3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rgb="FF92D05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rgb="FF92D05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mic Sans MS"/>
        <scheme val="none"/>
      </font>
      <fill>
        <patternFill patternType="solid">
          <fgColor indexed="64"/>
          <bgColor theme="3" tint="0.3999755851924192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medium">
          <color indexed="8"/>
        </left>
        <right style="medium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theme="5" tint="0.3999755851924192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theme="5" tint="0.3999755851924192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8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theme="2" tint="-0.49998474074526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theme="2" tint="-0.49998474074526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theme="3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theme="3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rgb="FF92D05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mic Sans MS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medium">
          <color indexed="8"/>
        </left>
        <right style="medium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family val="4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8"/>
        </left>
        <right style="medium">
          <color indexed="8"/>
        </right>
        <top/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theme="2" tint="-0.49998474074526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theme="2" tint="-0.49998474074526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family val="4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8"/>
        </left>
        <right style="medium">
          <color indexed="8"/>
        </right>
        <top/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theme="3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family val="4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8"/>
        </left>
        <right style="medium">
          <color indexed="8"/>
        </right>
        <top/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mic Sans MS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family val="4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8"/>
        </left>
        <right style="medium">
          <color indexed="8"/>
        </right>
        <top/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medium">
          <color indexed="8"/>
        </left>
        <right style="medium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outline="0">
        <left style="thin">
          <color indexed="8"/>
        </lef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theme="5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theme="5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medium">
          <color indexed="8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8"/>
        </right>
        <top style="thin">
          <color indexed="8"/>
        </top>
        <bottom style="thin">
          <color indexed="8"/>
        </bottom>
      </border>
    </dxf>
    <dxf>
      <border outline="0">
        <left style="thin">
          <color indexed="8"/>
        </left>
        <right style="thin">
          <color indexed="8"/>
        </right>
        <top style="medium">
          <color indexed="8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charset val="1"/>
        <scheme val="none"/>
      </font>
      <fill>
        <patternFill patternType="solid">
          <fgColor indexed="64"/>
          <bgColor theme="3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8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medium">
          <color indexed="8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mic Sans MS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top style="medium">
          <color indexed="8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8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2"/>
        <name val="Comic Sans MS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family val="4"/>
        <scheme val="none"/>
      </font>
      <fill>
        <patternFill patternType="solid">
          <fgColor indexed="64"/>
          <bgColor theme="9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8"/>
        </top>
      </border>
    </dxf>
    <dxf>
      <font>
        <b/>
        <strike val="0"/>
        <outline val="0"/>
        <shadow val="0"/>
        <u val="none"/>
        <vertAlign val="baseline"/>
        <sz val="18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indexed="8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omic Sans M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omic Sans M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omic Sans M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omic Sans MS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omic Sans M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omic Sans MS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2"/>
        <name val="Comic Sans MS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outline="0">
        <top style="thin">
          <color indexed="8"/>
        </top>
      </border>
    </dxf>
    <dxf>
      <border outline="0">
        <right style="thin">
          <color indexed="8"/>
        </right>
        <top style="thin">
          <color indexed="8"/>
        </top>
      </border>
    </dxf>
    <dxf>
      <border outline="0"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omic Sans M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70C0"/>
        <name val="Comic Sans MS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8"/>
        </left>
        <right/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omic Sans MS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mic Sans MS"/>
        <scheme val="none"/>
      </font>
      <numFmt numFmtId="1" formatCode="0"/>
      <fill>
        <patternFill patternType="solid">
          <fgColor indexed="26"/>
          <bgColor indexed="9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mic Sans MS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mic Sans MS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mic Sans MS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mic Sans MS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Comic Sans MS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mic Sans MS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mic Sans MS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border outline="0">
        <left style="thin">
          <color indexed="8"/>
        </left>
      </border>
    </dxf>
    <dxf>
      <fill>
        <patternFill patternType="none">
          <fgColor indexed="64"/>
          <bgColor auto="1"/>
        </patternFill>
      </fill>
    </dxf>
    <dxf>
      <border outline="0">
        <left style="medium">
          <color rgb="FF000000"/>
        </left>
      </border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70C0"/>
        <name val="Comic Sans MS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8"/>
        </left>
        <right/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omic Sans MS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mic Sans MS"/>
        <scheme val="none"/>
      </font>
      <numFmt numFmtId="1" formatCode="0"/>
      <fill>
        <patternFill patternType="solid">
          <fgColor indexed="26"/>
          <bgColor indexed="9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8"/>
        </right>
        <top style="thin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mic Sans MS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mic Sans MS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mic Sans MS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mic Sans MS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8"/>
        </top>
        <bottom style="thin">
          <color indexed="8"/>
        </bottom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Comic Sans MS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mic Sans MS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mic Sans MS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/>
        <top style="thin">
          <color indexed="8"/>
        </top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solid">
          <fgColor indexed="64"/>
          <bgColor rgb="FF92D05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  <vertical/>
        <horizontal/>
      </border>
    </dxf>
    <dxf>
      <border outline="0">
        <top style="medium">
          <color rgb="FF000000"/>
        </top>
      </border>
    </dxf>
    <dxf>
      <border outline="0">
        <bottom style="medium">
          <color rgb="FF000000"/>
        </bottom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12700</xdr:rowOff>
    </xdr:from>
    <xdr:to>
      <xdr:col>1</xdr:col>
      <xdr:colOff>1066800</xdr:colOff>
      <xdr:row>0</xdr:row>
      <xdr:rowOff>965200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190D24-26E1-7541-A844-F929317C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12700"/>
          <a:ext cx="15875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728382</xdr:colOff>
      <xdr:row>4</xdr:row>
      <xdr:rowOff>0</xdr:rowOff>
    </xdr:from>
    <xdr:to>
      <xdr:col>19</xdr:col>
      <xdr:colOff>123265</xdr:colOff>
      <xdr:row>6</xdr:row>
      <xdr:rowOff>156882</xdr:rowOff>
    </xdr:to>
    <xdr:sp macro="[0]!TriParNomAll" textlink="">
      <xdr:nvSpPr>
        <xdr:cNvPr id="3" name="Rectangle à coins arrondis 8">
          <a:extLst>
            <a:ext uri="{FF2B5EF4-FFF2-40B4-BE49-F238E27FC236}">
              <a16:creationId xmlns:a16="http://schemas.microsoft.com/office/drawing/2014/main" id="{EBC32CD0-F003-084E-AFB6-2F1FF84CEBC9}"/>
            </a:ext>
          </a:extLst>
        </xdr:cNvPr>
        <xdr:cNvSpPr/>
      </xdr:nvSpPr>
      <xdr:spPr>
        <a:xfrm>
          <a:off x="16793882" y="3169024"/>
          <a:ext cx="1871383" cy="1191558"/>
        </a:xfrm>
        <a:prstGeom prst="round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800" b="1"/>
            <a:t>TRI PAR SCORE</a:t>
          </a:r>
        </a:p>
      </xdr:txBody>
    </xdr:sp>
    <xdr:clientData/>
  </xdr:twoCellAnchor>
  <xdr:twoCellAnchor>
    <xdr:from>
      <xdr:col>16</xdr:col>
      <xdr:colOff>717176</xdr:colOff>
      <xdr:row>7</xdr:row>
      <xdr:rowOff>235324</xdr:rowOff>
    </xdr:from>
    <xdr:to>
      <xdr:col>19</xdr:col>
      <xdr:colOff>179294</xdr:colOff>
      <xdr:row>9</xdr:row>
      <xdr:rowOff>56029</xdr:rowOff>
    </xdr:to>
    <xdr:sp macro="[0]!TriParNom" textlink="">
      <xdr:nvSpPr>
        <xdr:cNvPr id="4" name="Rectangle à coins arrondis 10">
          <a:extLst>
            <a:ext uri="{FF2B5EF4-FFF2-40B4-BE49-F238E27FC236}">
              <a16:creationId xmlns:a16="http://schemas.microsoft.com/office/drawing/2014/main" id="{BBF83BDA-C608-CC40-ADAB-A1867A0A6171}"/>
            </a:ext>
          </a:extLst>
        </xdr:cNvPr>
        <xdr:cNvSpPr/>
      </xdr:nvSpPr>
      <xdr:spPr>
        <a:xfrm>
          <a:off x="16782676" y="4693024"/>
          <a:ext cx="1938618" cy="1408205"/>
        </a:xfrm>
        <a:prstGeom prst="round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2000" b="1"/>
            <a:t>TRI PAR NOM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12700</xdr:rowOff>
    </xdr:from>
    <xdr:to>
      <xdr:col>1</xdr:col>
      <xdr:colOff>1066800</xdr:colOff>
      <xdr:row>0</xdr:row>
      <xdr:rowOff>965200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12700"/>
          <a:ext cx="1538514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Ja&#169;/AppData/Local/Microsoft/Windows/INetCache/Content.Outlook/NAWWGR4O/FICHIER%20ADHERENTS%20AS%202023.xlsx" TargetMode="External"/><Relationship Id="rId1" Type="http://schemas.openxmlformats.org/officeDocument/2006/relationships/externalLinkPath" Target="/Users/Ja&#169;/AppData/Local/Microsoft/Windows/INetCache/Content.Outlook/NAWWGR4O/FICHIER%20ADHERENTS%20A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TA"/>
      <sheetName val="inscrits 2023"/>
      <sheetName val="PAIEMENTS"/>
      <sheetName val="PAR CATEGORIES"/>
      <sheetName val="EQUIPES"/>
    </sheetNames>
    <sheetDataSet>
      <sheetData sheetId="0">
        <row r="1">
          <cell r="A1" t="str">
            <v>NOM Prénom</v>
          </cell>
        </row>
      </sheetData>
      <sheetData sheetId="1"/>
      <sheetData sheetId="2"/>
      <sheetData sheetId="3"/>
      <sheetData sheetId="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5E0409E-F549-7A48-A749-8B8FF8782C4C}" name="Tableau111" displayName="Tableau111" ref="B4:P64" totalsRowShown="0" headerRowBorderDxfId="363" tableBorderDxfId="362">
  <autoFilter ref="B4:P64" xr:uid="{00000000-0009-0000-0100-000001000000}"/>
  <sortState xmlns:xlrd2="http://schemas.microsoft.com/office/spreadsheetml/2017/richdata2" ref="B5:P64">
    <sortCondition ref="P4:P64"/>
  </sortState>
  <tableColumns count="15">
    <tableColumn id="1" xr3:uid="{104E5CDD-6ED5-E742-9D81-442D996BBC06}" name="NOM" dataDxfId="361"/>
    <tableColumn id="2" xr3:uid="{6881C5C5-F1C5-374B-8FA5-DEC7182D5C25}" name="PRENOM" dataDxfId="360"/>
    <tableColumn id="3" xr3:uid="{E2DB0371-5900-9941-9A09-544A9A3C85F4}" name="CLUB"/>
    <tableColumn id="4" xr3:uid="{C758A494-3C4A-5646-856A-9223FE0FCBE6}" name="Score_x000a_MONTPENSIER_x000a_26/03/26" dataDxfId="359">
      <calculatedColumnFormula>_xlfn.IFNA(VLOOKUP(TRIM(CONCATENATE(Tableau111[[#This Row],[PRENOM]],Tableau111[[#This Row],[NOM]])),'T1'!$C$5:$E$106,3,FALSE),90)</calculatedColumnFormula>
    </tableColumn>
    <tableColumn id="5" xr3:uid="{940D8FCD-4DA2-BD4F-BAC6-2356486D74E4}" name="Score_x000a_CHARADE_x000a_23/04/26" dataDxfId="358">
      <calculatedColumnFormula>_xlfn.IFNA(VLOOKUP(TRIM(CONCATENATE(Tableau111[[#This Row],[PRENOM]],Tableau111[[#This Row],[NOM]])),'T2'!$C$5:$E$94,3,FALSE),90)</calculatedColumnFormula>
    </tableColumn>
    <tableColumn id="6" xr3:uid="{96EC168A-015E-4E4B-B2D5-2DAD289E66A9}" name="Score_x000a_MAURIAC_x000a_04/06/26" dataDxfId="357">
      <calculatedColumnFormula>_xlfn.IFNA(VLOOKUP(TRIM(CONCATENATE(Tableau111[[#This Row],[PRENOM]],Tableau111[[#This Row],[NOM]])),'T3'!$C$6:$E$115,3,FALSE),90)</calculatedColumnFormula>
    </tableColumn>
    <tableColumn id="7" xr3:uid="{C6B6FD8A-3E85-0942-AEC9-1E61DE1EAD0C}" name="Score_x000a_MONT DORE_x000a_18/07/26" dataDxfId="356">
      <calculatedColumnFormula>_xlfn.IFNA(VLOOKUP(TRIM(CONCATENATE(Tableau111[[#This Row],[PRENOM]],Tableau111[[#This Row],[NOM]])),'T4'!$C$5:$E$100,3,FALSE),90)</calculatedColumnFormula>
    </tableColumn>
    <tableColumn id="8" xr3:uid="{F85958A5-B86F-0945-8F3C-4F9AD69B8A84}" name="Score_x000a_LES VOLCANS_x000a_20/08/26" dataDxfId="355">
      <calculatedColumnFormula>_xlfn.IFNA(VLOOKUP(TRIM(CONCATENATE(Tableau111[[#This Row],[PRENOM]],Tableau111[[#This Row],[NOM]])),'T5'!$C$5:$E$115,3,FALSE),90)</calculatedColumnFormula>
    </tableColumn>
    <tableColumn id="9" xr3:uid="{06D8131B-57BC-D443-8AF6-B335AE0AF7D5}" name="Score_x000a_VAL D'AUZON_x000a_03/09/26" dataDxfId="354">
      <calculatedColumnFormula>_xlfn.IFNA(VLOOKUP(TRIM(CONCATENATE(Tableau111[[#This Row],[PRENOM]],Tableau111[[#This Row],[NOM]])),'T6'!$C$5:$E$126,3,FALSE),90)</calculatedColumnFormula>
    </tableColumn>
    <tableColumn id="10" xr3:uid="{118FD858-DEBC-024A-B0CF-E5B74586CE79}" name="Score_x000a_RIOM_x000a_24/09/26" dataDxfId="353">
      <calculatedColumnFormula>_xlfn.IFNA(VLOOKUP(TRIM(CONCATENATE(Tableau111[[#This Row],[PRENOM]],Tableau111[[#This Row],[NOM]])),'T7'!$C$5:$E$113,3,FALSE),90)</calculatedColumnFormula>
    </tableColumn>
    <tableColumn id="11" xr3:uid="{A1675AC9-1514-2F44-B366-41FAABF230F1}" name="Score_x000a_Total" dataDxfId="352">
      <calculatedColumnFormula>SUM(E5:K5)</calculatedColumnFormula>
    </tableColumn>
    <tableColumn id="12" xr3:uid="{2B8D4EB1-C1B0-4047-B80E-2188C8765CC7}" name="1 er     SCORE_x000a_Retiré" dataDxfId="351">
      <calculatedColumnFormula>LARGE(E5:K5,1)</calculatedColumnFormula>
    </tableColumn>
    <tableColumn id="13" xr3:uid="{C9750075-76ED-874C-828B-453025A02F7A}" name="2 ème    SCORE_x000a_Retiré" dataDxfId="350">
      <calculatedColumnFormula>LARGE(E5:K5,2)</calculatedColumnFormula>
    </tableColumn>
    <tableColumn id="14" xr3:uid="{7343FBF7-E347-8143-9902-3D878313E99E}" name="SCORE_x000a_Final _x000a_2025" dataDxfId="349">
      <calculatedColumnFormula>L5-M5-N5</calculatedColumnFormula>
    </tableColumn>
    <tableColumn id="15" xr3:uid="{8B807423-F3FC-8241-8D39-F7B9E16C41D7}" name="Classement" dataDxfId="348">
      <calculatedColumnFormula>RANK(Tableau111[[#This Row],[SCORE
Final 
2025]],Tableau111[SCORE
Final 
2025],1)</calculatedColumnFormula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8FAB0727-432E-424E-91C4-BD6C6A3469C5}" name="Tableau262" displayName="Tableau262" ref="B67:Q100" totalsRowShown="0" headerRowBorderDxfId="347" tableBorderDxfId="346">
  <autoFilter ref="B67:Q100" xr:uid="{00000000-0009-0000-0100-000002000000}"/>
  <sortState xmlns:xlrd2="http://schemas.microsoft.com/office/spreadsheetml/2017/richdata2" ref="B68:Q100">
    <sortCondition ref="P67:P100"/>
  </sortState>
  <tableColumns count="16">
    <tableColumn id="1" xr3:uid="{CD9CA16B-282E-6642-B287-CA41CC279BEB}" name="NOM" dataDxfId="345"/>
    <tableColumn id="2" xr3:uid="{567C8A40-4B15-8B4B-979C-2F71DCB63E32}" name="PRENOM" dataDxfId="344"/>
    <tableColumn id="3" xr3:uid="{A56AAE30-EBF4-6349-83BE-BF426A4C612D}" name="CLUB"/>
    <tableColumn id="4" xr3:uid="{3BDAF201-AC83-A546-8307-F5E8FDA0EDE3}" name="Score_x000a_MONTPENSIER_x000a_26/03/26" dataDxfId="343">
      <calculatedColumnFormula>_xlfn.IFNA(VLOOKUP(TRIM(CONCATENATE(Tableau262[[#This Row],[PRENOM]],Tableau262[[#This Row],[NOM]])),'T1'!$C$5:$E$106,3,FALSE),90)</calculatedColumnFormula>
    </tableColumn>
    <tableColumn id="5" xr3:uid="{C66D6341-37EB-4E46-967E-EC30C2D486F3}" name="Score_x000a_CHARADE_x000a_23/04/26" dataDxfId="342">
      <calculatedColumnFormula>_xlfn.IFNA(VLOOKUP(TRIM(CONCATENATE(Tableau262[[#This Row],[PRENOM]],Tableau262[[#This Row],[NOM]])),'T2'!$C$5:$E$94,3,FALSE),90)</calculatedColumnFormula>
    </tableColumn>
    <tableColumn id="6" xr3:uid="{FB833B4E-4EA3-704C-BC3D-F5436C65E20C}" name="Score_x000a_MAURIAC_x000a_04/06/26" dataDxfId="341">
      <calculatedColumnFormula>_xlfn.IFNA(VLOOKUP(TRIM(CONCATENATE(Tableau262[[#This Row],[PRENOM]],Tableau262[[#This Row],[NOM]])),'T3'!$C$6:$E$115,3,FALSE),90)</calculatedColumnFormula>
    </tableColumn>
    <tableColumn id="7" xr3:uid="{B0530D8C-40FA-D642-AD65-95BF4EEFE8A2}" name="Score_x000a_MONT DORE_x000a_18/06/26" dataDxfId="340">
      <calculatedColumnFormula>_xlfn.IFNA(VLOOKUP(TRIM(CONCATENATE(Tableau262[[#This Row],[PRENOM]],Tableau262[[#This Row],[NOM]])),'T4'!$C$5:$E$100,3,FALSE),90)</calculatedColumnFormula>
    </tableColumn>
    <tableColumn id="8" xr3:uid="{267ACA69-2EAC-B348-AE79-B6BBFA0483CE}" name="Score_x000a_LES VOLCANS_x000a_20/08/26" dataDxfId="339">
      <calculatedColumnFormula>_xlfn.IFNA(VLOOKUP(TRIM(CONCATENATE(Tableau262[[#This Row],[PRENOM]],Tableau262[[#This Row],[NOM]])),'T5'!$C$5:$E$115,3,FALSE),90)</calculatedColumnFormula>
    </tableColumn>
    <tableColumn id="9" xr3:uid="{A880DC72-1603-C84B-BC7F-5514C5002EAB}" name="Score_x000a_VAL D'AUZON_x000a_03/09/26" dataDxfId="338">
      <calculatedColumnFormula>_xlfn.IFNA(VLOOKUP(TRIM(CONCATENATE(Tableau262[[#This Row],[PRENOM]],Tableau262[[#This Row],[NOM]])),'T6'!$C$5:$E$126,3,FALSE),90)</calculatedColumnFormula>
    </tableColumn>
    <tableColumn id="10" xr3:uid="{575D56E6-B38A-3042-A7AB-FD52EDE874DF}" name="Score_x000a_RIOM_x000a_24/09/26" dataDxfId="337">
      <calculatedColumnFormula>_xlfn.IFNA(VLOOKUP(TRIM(CONCATENATE(Tableau262[[#This Row],[PRENOM]],Tableau262[[#This Row],[NOM]])),'T7'!$C$5:$E$113,3,FALSE),90)</calculatedColumnFormula>
    </tableColumn>
    <tableColumn id="11" xr3:uid="{6F703F21-EC86-9A48-A287-7A960D8CA87F}" name="Score_x000a_Total" dataDxfId="336">
      <calculatedColumnFormula>SUM(E68:K68)</calculatedColumnFormula>
    </tableColumn>
    <tableColumn id="12" xr3:uid="{8A119BC1-232C-CC42-9A9A-5A2EA56B582E}" name="1 er     SCORE_x000a_Retiré" dataDxfId="335">
      <calculatedColumnFormula>LARGE(E68:K68,1)</calculatedColumnFormula>
    </tableColumn>
    <tableColumn id="13" xr3:uid="{B218297C-16A1-584A-B48D-6AC5DEAEEEA0}" name="2 ème    SCORE_x000a_Retiré" dataDxfId="334">
      <calculatedColumnFormula>LARGE(E68:K68,2)</calculatedColumnFormula>
    </tableColumn>
    <tableColumn id="14" xr3:uid="{85324229-7E0F-444F-AF1E-0542A88B72C3}" name="SCORE_x000a_Final _x000a_2024" dataDxfId="333">
      <calculatedColumnFormula>L68-M68-N68</calculatedColumnFormula>
    </tableColumn>
    <tableColumn id="15" xr3:uid="{94FE8C3E-0FD1-274C-AD6F-47191677C264}" name="Classement" dataDxfId="332">
      <calculatedColumnFormula>RANK(Tableau262[[#This Row],[SCORE
Final 
2024]],Tableau262[SCORE
Final 
2024],1)</calculatedColumnFormula>
    </tableColumn>
    <tableColumn id="16" xr3:uid="{DB839E19-AA3A-EB41-931E-B6FC85E08588}" name="1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00000000-000C-0000-FFFF-FFFF02000000}" name="Tableau60" displayName="Tableau60" ref="B5:K12" totalsRowShown="0" headerRowDxfId="331" headerRowBorderDxfId="330" tableBorderDxfId="329" totalsRowBorderDxfId="328">
  <autoFilter ref="B5:K12" xr:uid="{00000000-0009-0000-0100-00003C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sortState xmlns:xlrd2="http://schemas.microsoft.com/office/spreadsheetml/2017/richdata2" ref="B6:K12">
    <sortCondition ref="K5:K12"/>
  </sortState>
  <tableColumns count="10">
    <tableColumn id="1" xr3:uid="{00000000-0010-0000-0200-000001000000}" name="EQUIPES" dataDxfId="327"/>
    <tableColumn id="4" xr3:uid="{00000000-0010-0000-0200-000004000000}" name="MONTPENSIER" dataDxfId="326">
      <calculatedColumnFormula>'T1'!$P7</calculatedColumnFormula>
    </tableColumn>
    <tableColumn id="5" xr3:uid="{00000000-0010-0000-0200-000005000000}" name="CHARADE" dataDxfId="325">
      <calculatedColumnFormula>'T2'!$P7</calculatedColumnFormula>
    </tableColumn>
    <tableColumn id="6" xr3:uid="{00000000-0010-0000-0200-000006000000}" name="MAURIAC" dataDxfId="324">
      <calculatedColumnFormula>'T3'!$P7</calculatedColumnFormula>
    </tableColumn>
    <tableColumn id="7" xr3:uid="{00000000-0010-0000-0200-000007000000}" name="MONT DORE" dataDxfId="323">
      <calculatedColumnFormula>'T4'!$P7</calculatedColumnFormula>
    </tableColumn>
    <tableColumn id="8" xr3:uid="{00000000-0010-0000-0200-000008000000}" name="LES VOLCANS" dataDxfId="322">
      <calculatedColumnFormula>'T5'!$P7</calculatedColumnFormula>
    </tableColumn>
    <tableColumn id="9" xr3:uid="{00000000-0010-0000-0200-000009000000}" name="VAL D'AUZON" dataDxfId="321">
      <calculatedColumnFormula>'T6'!$P7</calculatedColumnFormula>
    </tableColumn>
    <tableColumn id="10" xr3:uid="{00000000-0010-0000-0200-00000A000000}" name="RIOM" dataDxfId="320">
      <calculatedColumnFormula>'T7'!$P7</calculatedColumnFormula>
    </tableColumn>
    <tableColumn id="11" xr3:uid="{00000000-0010-0000-0200-00000B000000}" name="GLOBAL" dataDxfId="319">
      <calculatedColumnFormula>SUM(C6:I6)</calculatedColumnFormula>
    </tableColumn>
    <tableColumn id="2" xr3:uid="{00000000-0010-0000-0200-000002000000}" name="Colonne1" dataDxfId="31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leau3" displayName="Tableau3" ref="A4:E12" totalsRowShown="0" tableBorderDxfId="317">
  <autoFilter ref="A4:E12" xr:uid="{00000000-0009-0000-0100-000003000000}"/>
  <tableColumns count="5">
    <tableColumn id="1" xr3:uid="{00000000-0010-0000-0300-000001000000}" name="NOM " dataDxfId="316"/>
    <tableColumn id="2" xr3:uid="{00000000-0010-0000-0300-000002000000}" name="PRENOM" dataDxfId="315"/>
    <tableColumn id="3" xr3:uid="{00000000-0010-0000-0300-000003000000}" name="Colonne1" dataDxfId="314">
      <calculatedColumnFormula>TRIM(CONCATENATE(B5,A5))</calculatedColumnFormula>
    </tableColumn>
    <tableColumn id="6" xr3:uid="{00000000-0010-0000-0300-000006000000}" name="Catégorie" dataDxfId="313"/>
    <tableColumn id="5" xr3:uid="{00000000-0010-0000-0300-000005000000}" name="BRUT" dataDxfId="3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leau4" displayName="Tableau4" ref="A16:E24" totalsRowShown="0" tableBorderDxfId="311">
  <autoFilter ref="A16:E24" xr:uid="{00000000-0009-0000-0100-000004000000}"/>
  <tableColumns count="5">
    <tableColumn id="1" xr3:uid="{00000000-0010-0000-0400-000001000000}" name="NOM " dataDxfId="310"/>
    <tableColumn id="2" xr3:uid="{00000000-0010-0000-0400-000002000000}" name="PRENOM" dataDxfId="309"/>
    <tableColumn id="3" xr3:uid="{00000000-0010-0000-0400-000003000000}" name="Colonne1" dataDxfId="308">
      <calculatedColumnFormula>TRIM(CONCATENATE(B17,A17))</calculatedColumnFormula>
    </tableColumn>
    <tableColumn id="6" xr3:uid="{00000000-0010-0000-0400-000006000000}" name="Catégorie" dataDxfId="307"/>
    <tableColumn id="5" xr3:uid="{00000000-0010-0000-0400-000005000000}" name="BRUT" dataDxfId="30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leau5" displayName="Tableau5" ref="A28:E32" totalsRowShown="0" tableBorderDxfId="305">
  <autoFilter ref="A28:E32" xr:uid="{00000000-0009-0000-0100-000005000000}"/>
  <tableColumns count="5">
    <tableColumn id="1" xr3:uid="{00000000-0010-0000-0500-000001000000}" name="NOM " dataDxfId="304"/>
    <tableColumn id="2" xr3:uid="{00000000-0010-0000-0500-000002000000}" name="PRENOM" dataDxfId="303"/>
    <tableColumn id="3" xr3:uid="{00000000-0010-0000-0500-000003000000}" name="Colonne1" dataDxfId="302">
      <calculatedColumnFormula>TRIM(CONCATENATE(B29,A29))</calculatedColumnFormula>
    </tableColumn>
    <tableColumn id="6" xr3:uid="{00000000-0010-0000-0500-000006000000}" name="Catégorie" dataDxfId="301"/>
    <tableColumn id="5" xr3:uid="{00000000-0010-0000-0500-000005000000}" name="BRUT" dataDxfId="30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Tableau6" displayName="Tableau6" ref="A36:E44" totalsRowShown="0" tableBorderDxfId="299">
  <autoFilter ref="A36:E44" xr:uid="{00000000-0009-0000-0100-000006000000}"/>
  <tableColumns count="5">
    <tableColumn id="1" xr3:uid="{00000000-0010-0000-0600-000001000000}" name="NOM " dataDxfId="298"/>
    <tableColumn id="2" xr3:uid="{00000000-0010-0000-0600-000002000000}" name="PRENOM" dataDxfId="297"/>
    <tableColumn id="3" xr3:uid="{00000000-0010-0000-0600-000003000000}" name="Colonne1" dataDxfId="296">
      <calculatedColumnFormula>TRIM(CONCATENATE(B37,A37))</calculatedColumnFormula>
    </tableColumn>
    <tableColumn id="6" xr3:uid="{00000000-0010-0000-0600-000006000000}" name="Catégorie" dataDxfId="295"/>
    <tableColumn id="5" xr3:uid="{00000000-0010-0000-0600-000005000000}" name="BRUT" dataDxfId="29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7000000}" name="Tableau7" displayName="Tableau7" ref="A48:E55" totalsRowShown="0" tableBorderDxfId="293">
  <autoFilter ref="A48:E55" xr:uid="{00000000-0009-0000-0100-000007000000}"/>
  <tableColumns count="5">
    <tableColumn id="1" xr3:uid="{00000000-0010-0000-0700-000001000000}" name="NOM " dataDxfId="292"/>
    <tableColumn id="2" xr3:uid="{00000000-0010-0000-0700-000002000000}" name="PRENOM" dataDxfId="291"/>
    <tableColumn id="3" xr3:uid="{00000000-0010-0000-0700-000003000000}" name="Colonne1" dataDxfId="290">
      <calculatedColumnFormula>TRIM(CONCATENATE(B49,A49))</calculatedColumnFormula>
    </tableColumn>
    <tableColumn id="6" xr3:uid="{00000000-0010-0000-0700-000006000000}" name="Catégorie" dataDxfId="289"/>
    <tableColumn id="5" xr3:uid="{00000000-0010-0000-0700-000005000000}" name="BRUT" dataDxfId="28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leau8" displayName="Tableau8" ref="A59:E65" totalsRowShown="0" tableBorderDxfId="287">
  <autoFilter ref="A59:E65" xr:uid="{00000000-0009-0000-0100-000008000000}"/>
  <tableColumns count="5">
    <tableColumn id="1" xr3:uid="{00000000-0010-0000-0800-000001000000}" name="NOM " dataDxfId="286"/>
    <tableColumn id="2" xr3:uid="{00000000-0010-0000-0800-000002000000}" name="PRENOM" dataDxfId="285"/>
    <tableColumn id="3" xr3:uid="{00000000-0010-0000-0800-000003000000}" name="Colonne1" dataDxfId="284">
      <calculatedColumnFormula>TRIM(CONCATENATE(B60,A60))</calculatedColumnFormula>
    </tableColumn>
    <tableColumn id="6" xr3:uid="{00000000-0010-0000-0800-000006000000}" name="Catégorie" dataDxfId="283"/>
    <tableColumn id="5" xr3:uid="{00000000-0010-0000-0800-000005000000}" name="BRUT" dataDxfId="28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leau9" displayName="Tableau9" ref="A69:E77" totalsRowShown="0" tableBorderDxfId="281">
  <autoFilter ref="A69:E77" xr:uid="{00000000-0009-0000-0100-000009000000}"/>
  <tableColumns count="5">
    <tableColumn id="1" xr3:uid="{00000000-0010-0000-0900-000001000000}" name="NOM " dataDxfId="280"/>
    <tableColumn id="2" xr3:uid="{00000000-0010-0000-0900-000002000000}" name="PRENOM" dataDxfId="279"/>
    <tableColumn id="3" xr3:uid="{00000000-0010-0000-0900-000003000000}" name="Colonne1" dataDxfId="278">
      <calculatedColumnFormula>TRIM(CONCATENATE(B70,A70))</calculatedColumnFormula>
    </tableColumn>
    <tableColumn id="6" xr3:uid="{00000000-0010-0000-0900-000006000000}" name="Catégorie" dataDxfId="277"/>
    <tableColumn id="5" xr3:uid="{00000000-0010-0000-0900-000005000000}" name="BRUT" dataDxfId="276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au11" displayName="Tableau11" ref="O6:Q13" totalsRowShown="0" tableBorderDxfId="275">
  <autoFilter ref="O6:Q13" xr:uid="{00000000-0009-0000-0100-00000B000000}"/>
  <tableColumns count="3">
    <tableColumn id="1" xr3:uid="{00000000-0010-0000-0A00-000001000000}" name="EQUIPES" dataDxfId="274"/>
    <tableColumn id="2" xr3:uid="{00000000-0010-0000-0A00-000002000000}" name="SCORE Brut" dataDxfId="273"/>
    <tableColumn id="3" xr3:uid="{00000000-0010-0000-0A00-000003000000}" name="CLASSEMENT" dataDxfId="272">
      <calculatedColumnFormula>RANK(P7, P$7:P$13, 1) + COUNTIF(P$7:P7, P7) - 1</calculatedColumnFormula>
    </tableColumn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au313" displayName="Tableau313" ref="A4:E13" totalsRowShown="0" tableBorderDxfId="271">
  <autoFilter ref="A4:E13" xr:uid="{00000000-0009-0000-0100-00000C000000}"/>
  <tableColumns count="5">
    <tableColumn id="1" xr3:uid="{00000000-0010-0000-0B00-000001000000}" name="NOM " dataDxfId="270"/>
    <tableColumn id="2" xr3:uid="{00000000-0010-0000-0B00-000002000000}" name="PRENOM" dataDxfId="269"/>
    <tableColumn id="3" xr3:uid="{00000000-0010-0000-0B00-000003000000}" name="Colonne1" dataDxfId="268">
      <calculatedColumnFormula>TRIM(CONCATENATE(B5,A5))</calculatedColumnFormula>
    </tableColumn>
    <tableColumn id="6" xr3:uid="{00000000-0010-0000-0B00-000006000000}" name="Catégorie" dataDxfId="267"/>
    <tableColumn id="5" xr3:uid="{00000000-0010-0000-0B00-000005000000}" name="BRUT" dataDxfId="26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au414" displayName="Tableau414" ref="A17:E23" totalsRowShown="0" tableBorderDxfId="265">
  <autoFilter ref="A17:E23" xr:uid="{00000000-0009-0000-0100-00000D000000}"/>
  <tableColumns count="5">
    <tableColumn id="1" xr3:uid="{00000000-0010-0000-0C00-000001000000}" name="NOM " dataDxfId="264"/>
    <tableColumn id="2" xr3:uid="{00000000-0010-0000-0C00-000002000000}" name="PRENOM" dataDxfId="263"/>
    <tableColumn id="3" xr3:uid="{00000000-0010-0000-0C00-000003000000}" name="Colonne1" dataDxfId="262">
      <calculatedColumnFormula>TRIM(CONCATENATE(B18,A18))</calculatedColumnFormula>
    </tableColumn>
    <tableColumn id="6" xr3:uid="{00000000-0010-0000-0C00-000006000000}" name="Catégorie" dataDxfId="261"/>
    <tableColumn id="5" xr3:uid="{00000000-0010-0000-0C00-000005000000}" name="BRUT" dataDxfId="260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au515" displayName="Tableau515" ref="A27:E30" totalsRowShown="0" tableBorderDxfId="259">
  <autoFilter ref="A27:E30" xr:uid="{00000000-0009-0000-0100-00000E000000}"/>
  <tableColumns count="5">
    <tableColumn id="1" xr3:uid="{00000000-0010-0000-0D00-000001000000}" name="NOM " dataDxfId="258"/>
    <tableColumn id="2" xr3:uid="{00000000-0010-0000-0D00-000002000000}" name="PRENOM" dataDxfId="257"/>
    <tableColumn id="3" xr3:uid="{00000000-0010-0000-0D00-000003000000}" name="Colonne1" dataDxfId="256">
      <calculatedColumnFormula>TRIM(CONCATENATE(B28,A28))</calculatedColumnFormula>
    </tableColumn>
    <tableColumn id="6" xr3:uid="{00000000-0010-0000-0D00-000006000000}" name="Catégorie" dataDxfId="255"/>
    <tableColumn id="5" xr3:uid="{00000000-0010-0000-0D00-000005000000}" name="BRUT" dataDxfId="254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au616" displayName="Tableau616" ref="A34:E46" totalsRowShown="0" tableBorderDxfId="253">
  <autoFilter ref="A34:E46" xr:uid="{00000000-0009-0000-0100-00000F000000}"/>
  <tableColumns count="5">
    <tableColumn id="1" xr3:uid="{00000000-0010-0000-0E00-000001000000}" name="NOM " dataDxfId="252"/>
    <tableColumn id="2" xr3:uid="{00000000-0010-0000-0E00-000002000000}" name="PRENOM" dataDxfId="251"/>
    <tableColumn id="3" xr3:uid="{00000000-0010-0000-0E00-000003000000}" name="Colonne1" dataDxfId="250">
      <calculatedColumnFormula>TRIM(CONCATENATE(B35,A35))</calculatedColumnFormula>
    </tableColumn>
    <tableColumn id="6" xr3:uid="{00000000-0010-0000-0E00-000006000000}" name="Catégorie" dataDxfId="249"/>
    <tableColumn id="5" xr3:uid="{00000000-0010-0000-0E00-000005000000}" name="BRUT" dataDxfId="248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au717" displayName="Tableau717" ref="A50:E56" totalsRowShown="0" tableBorderDxfId="247">
  <autoFilter ref="A50:E56" xr:uid="{00000000-0009-0000-0100-000010000000}"/>
  <tableColumns count="5">
    <tableColumn id="1" xr3:uid="{00000000-0010-0000-0F00-000001000000}" name="NOM " dataDxfId="246"/>
    <tableColumn id="2" xr3:uid="{00000000-0010-0000-0F00-000002000000}" name="PRENOM" dataDxfId="245"/>
    <tableColumn id="3" xr3:uid="{00000000-0010-0000-0F00-000003000000}" name="Colonne1" dataDxfId="244">
      <calculatedColumnFormula>TRIM(CONCATENATE(B51,A51))</calculatedColumnFormula>
    </tableColumn>
    <tableColumn id="6" xr3:uid="{00000000-0010-0000-0F00-000006000000}" name="Catégorie" dataDxfId="243"/>
    <tableColumn id="5" xr3:uid="{00000000-0010-0000-0F00-000005000000}" name="BRUT" dataDxfId="24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au818" displayName="Tableau818" ref="A60:E65" totalsRowShown="0" tableBorderDxfId="241">
  <autoFilter ref="A60:E65" xr:uid="{00000000-0009-0000-0100-000011000000}"/>
  <tableColumns count="5">
    <tableColumn id="1" xr3:uid="{00000000-0010-0000-1000-000001000000}" name="NOM " dataDxfId="240"/>
    <tableColumn id="2" xr3:uid="{00000000-0010-0000-1000-000002000000}" name="PRENOM" dataDxfId="239"/>
    <tableColumn id="3" xr3:uid="{00000000-0010-0000-1000-000003000000}" name="Colonne1" dataDxfId="238">
      <calculatedColumnFormula>TRIM(CONCATENATE(B61,A61))</calculatedColumnFormula>
    </tableColumn>
    <tableColumn id="6" xr3:uid="{00000000-0010-0000-1000-000006000000}" name="Catégorie" dataDxfId="237"/>
    <tableColumn id="5" xr3:uid="{00000000-0010-0000-1000-000005000000}" name="BRUT" dataDxfId="236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au919" displayName="Tableau919" ref="A69:E72" totalsRowShown="0" tableBorderDxfId="235">
  <autoFilter ref="A69:E72" xr:uid="{00000000-0009-0000-0100-000012000000}"/>
  <tableColumns count="5">
    <tableColumn id="1" xr3:uid="{00000000-0010-0000-1100-000001000000}" name="NOM " dataDxfId="234"/>
    <tableColumn id="2" xr3:uid="{00000000-0010-0000-1100-000002000000}" name="PRENOM" dataDxfId="233"/>
    <tableColumn id="3" xr3:uid="{00000000-0010-0000-1100-000003000000}" name="Colonne1" dataDxfId="232">
      <calculatedColumnFormula>TRIM(CONCATENATE(B70,A70))</calculatedColumnFormula>
    </tableColumn>
    <tableColumn id="6" xr3:uid="{00000000-0010-0000-1100-000006000000}" name="Catégorie" dataDxfId="231"/>
    <tableColumn id="5" xr3:uid="{00000000-0010-0000-1100-000005000000}" name="BRUT" dataDxfId="230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au1120" displayName="Tableau1120" ref="O6:Q13" totalsRowShown="0" tableBorderDxfId="229">
  <autoFilter ref="O6:Q13" xr:uid="{00000000-0009-0000-0100-000013000000}"/>
  <tableColumns count="3">
    <tableColumn id="1" xr3:uid="{00000000-0010-0000-1200-000001000000}" name="EQUIPES" dataDxfId="228"/>
    <tableColumn id="2" xr3:uid="{00000000-0010-0000-1200-000002000000}" name="SCORE Brut" dataDxfId="227"/>
    <tableColumn id="3" xr3:uid="{00000000-0010-0000-1200-000003000000}" name="CLASSEMENT" dataDxfId="226">
      <calculatedColumnFormula>RANK(P7, P$7:P$13, 1) + COUNTIF(P$7:P7, P7) - 1</calculatedColumnFormula>
    </tableColumn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au31321" displayName="Tableau31321" ref="A4:E14" totalsRowShown="0" tableBorderDxfId="225">
  <autoFilter ref="A4:E14" xr:uid="{00000000-0009-0000-0100-000014000000}"/>
  <tableColumns count="5">
    <tableColumn id="1" xr3:uid="{00000000-0010-0000-1300-000001000000}" name="NOM " dataDxfId="224"/>
    <tableColumn id="2" xr3:uid="{00000000-0010-0000-1300-000002000000}" name="PRENOM" dataDxfId="223"/>
    <tableColumn id="3" xr3:uid="{00000000-0010-0000-1300-000003000000}" name="Colonne1" dataDxfId="222">
      <calculatedColumnFormula>TRIM(CONCATENATE(B5,A5))</calculatedColumnFormula>
    </tableColumn>
    <tableColumn id="6" xr3:uid="{00000000-0010-0000-1300-000006000000}" name="Catégorie" dataDxfId="221"/>
    <tableColumn id="5" xr3:uid="{00000000-0010-0000-1300-000005000000}" name="BRUT" dataDxfId="220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au41422" displayName="Tableau41422" ref="A20:E29" totalsRowShown="0" tableBorderDxfId="219">
  <autoFilter ref="A20:E29" xr:uid="{00000000-0009-0000-0100-000015000000}"/>
  <tableColumns count="5">
    <tableColumn id="1" xr3:uid="{00000000-0010-0000-1400-000001000000}" name="NOM " dataDxfId="218"/>
    <tableColumn id="2" xr3:uid="{00000000-0010-0000-1400-000002000000}" name="PRENOM" dataDxfId="217"/>
    <tableColumn id="3" xr3:uid="{00000000-0010-0000-1400-000003000000}" name="Colonne1" dataDxfId="216">
      <calculatedColumnFormula>TRIM(CONCATENATE(B21,A21))</calculatedColumnFormula>
    </tableColumn>
    <tableColumn id="6" xr3:uid="{00000000-0010-0000-1400-000006000000}" name="Catégorie" dataDxfId="215"/>
    <tableColumn id="5" xr3:uid="{00000000-0010-0000-1400-000005000000}" name="BRUT" dataDxfId="214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au51523" displayName="Tableau51523" ref="A33:E37" totalsRowShown="0" tableBorderDxfId="213">
  <autoFilter ref="A33:E37" xr:uid="{00000000-0009-0000-0100-000016000000}"/>
  <tableColumns count="5">
    <tableColumn id="1" xr3:uid="{00000000-0010-0000-1500-000001000000}" name="NOM " dataDxfId="212"/>
    <tableColumn id="2" xr3:uid="{00000000-0010-0000-1500-000002000000}" name="PRENOM" dataDxfId="211"/>
    <tableColumn id="3" xr3:uid="{00000000-0010-0000-1500-000003000000}" name="Colonne1" dataDxfId="210">
      <calculatedColumnFormula>TRIM(CONCATENATE(B34,A34))</calculatedColumnFormula>
    </tableColumn>
    <tableColumn id="6" xr3:uid="{00000000-0010-0000-1500-000006000000}" name="Catégorie" dataDxfId="209"/>
    <tableColumn id="5" xr3:uid="{00000000-0010-0000-1500-000005000000}" name="BRUT" dataDxfId="208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au61624" displayName="Tableau61624" ref="A41:E53" totalsRowShown="0" tableBorderDxfId="207">
  <autoFilter ref="A41:E53" xr:uid="{00000000-0009-0000-0100-000017000000}"/>
  <tableColumns count="5">
    <tableColumn id="1" xr3:uid="{00000000-0010-0000-1600-000001000000}" name="NOM " dataDxfId="206"/>
    <tableColumn id="2" xr3:uid="{00000000-0010-0000-1600-000002000000}" name="PRENOM" dataDxfId="205"/>
    <tableColumn id="3" xr3:uid="{00000000-0010-0000-1600-000003000000}" name="Colonne1" dataDxfId="204">
      <calculatedColumnFormula>TRIM(CONCATENATE(B42,A42))</calculatedColumnFormula>
    </tableColumn>
    <tableColumn id="6" xr3:uid="{00000000-0010-0000-1600-000006000000}" name="Catégorie" dataDxfId="203"/>
    <tableColumn id="5" xr3:uid="{00000000-0010-0000-1600-000005000000}" name="BRUT" dataDxfId="202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au71725" displayName="Tableau71725" ref="A57:E66" totalsRowShown="0" tableBorderDxfId="201">
  <autoFilter ref="A57:E66" xr:uid="{00000000-0009-0000-0100-000018000000}"/>
  <tableColumns count="5">
    <tableColumn id="1" xr3:uid="{00000000-0010-0000-1700-000001000000}" name="NOM " dataDxfId="200"/>
    <tableColumn id="2" xr3:uid="{00000000-0010-0000-1700-000002000000}" name="PRENOM" dataDxfId="199"/>
    <tableColumn id="3" xr3:uid="{00000000-0010-0000-1700-000003000000}" name="Colonne1" dataDxfId="198">
      <calculatedColumnFormula>TRIM(CONCATENATE(B58,A58))</calculatedColumnFormula>
    </tableColumn>
    <tableColumn id="6" xr3:uid="{00000000-0010-0000-1700-000006000000}" name="Catégorie" dataDxfId="197"/>
    <tableColumn id="5" xr3:uid="{00000000-0010-0000-1700-000005000000}" name="BRUT" dataDxfId="196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au81826" displayName="Tableau81826" ref="A70:E78" totalsRowShown="0" tableBorderDxfId="195">
  <autoFilter ref="A70:E78" xr:uid="{00000000-0009-0000-0100-000019000000}"/>
  <tableColumns count="5">
    <tableColumn id="1" xr3:uid="{00000000-0010-0000-1800-000001000000}" name="NOM " dataDxfId="194"/>
    <tableColumn id="2" xr3:uid="{00000000-0010-0000-1800-000002000000}" name="PRENOM" dataDxfId="193"/>
    <tableColumn id="3" xr3:uid="{00000000-0010-0000-1800-000003000000}" name="Colonne1" dataDxfId="192">
      <calculatedColumnFormula>TRIM(CONCATENATE(B71,A71))</calculatedColumnFormula>
    </tableColumn>
    <tableColumn id="6" xr3:uid="{00000000-0010-0000-1800-000006000000}" name="Catégorie" dataDxfId="191"/>
    <tableColumn id="5" xr3:uid="{00000000-0010-0000-1800-000005000000}" name="BRUT" dataDxfId="190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au91927" displayName="Tableau91927" ref="A83:E86" totalsRowShown="0" tableBorderDxfId="189">
  <autoFilter ref="A83:E86" xr:uid="{00000000-0009-0000-0100-00001A000000}"/>
  <tableColumns count="5">
    <tableColumn id="1" xr3:uid="{00000000-0010-0000-1900-000001000000}" name="NOM " dataDxfId="188"/>
    <tableColumn id="2" xr3:uid="{00000000-0010-0000-1900-000002000000}" name="PRENOM" dataDxfId="187"/>
    <tableColumn id="3" xr3:uid="{00000000-0010-0000-1900-000003000000}" name="Colonne1" dataDxfId="186">
      <calculatedColumnFormula>TRIM(CONCATENATE(B84,A84))</calculatedColumnFormula>
    </tableColumn>
    <tableColumn id="6" xr3:uid="{00000000-0010-0000-1900-000006000000}" name="Catégorie" dataDxfId="185"/>
    <tableColumn id="5" xr3:uid="{00000000-0010-0000-1900-000005000000}" name="BRUT" dataDxfId="184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au112028" displayName="Tableau112028" ref="O6:Q13" totalsRowShown="0" tableBorderDxfId="183">
  <autoFilter ref="O6:Q13" xr:uid="{00000000-0009-0000-0100-00001B000000}"/>
  <tableColumns count="3">
    <tableColumn id="1" xr3:uid="{00000000-0010-0000-1A00-000001000000}" name="EQUIPES" dataDxfId="182"/>
    <tableColumn id="2" xr3:uid="{00000000-0010-0000-1A00-000002000000}" name="SCORE Brut" dataDxfId="181"/>
    <tableColumn id="3" xr3:uid="{00000000-0010-0000-1A00-000003000000}" name="CLASSEMENT" dataDxfId="180">
      <calculatedColumnFormula>RANK(P7, P$7:P$13, 1) + COUNTIF(P$7:P7, P7) - 1</calculatedColumnFormula>
    </tableColumn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au3132129" displayName="Tableau3132129" ref="A4:E12" totalsRowShown="0" tableBorderDxfId="179">
  <autoFilter ref="A4:E12" xr:uid="{00000000-0009-0000-0100-00001C000000}"/>
  <tableColumns count="5">
    <tableColumn id="1" xr3:uid="{00000000-0010-0000-1B00-000001000000}" name="NOM " dataDxfId="178"/>
    <tableColumn id="2" xr3:uid="{00000000-0010-0000-1B00-000002000000}" name="PRENOM" dataDxfId="177"/>
    <tableColumn id="3" xr3:uid="{00000000-0010-0000-1B00-000003000000}" name="Colonne1" dataDxfId="176">
      <calculatedColumnFormula>TRIM(CONCATENATE(B5,A5))</calculatedColumnFormula>
    </tableColumn>
    <tableColumn id="6" xr3:uid="{00000000-0010-0000-1B00-000006000000}" name="Catégorie" dataDxfId="175"/>
    <tableColumn id="5" xr3:uid="{00000000-0010-0000-1B00-000005000000}" name="BRUT" dataDxfId="174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au4142230" displayName="Tableau4142230" ref="A16:E27" totalsRowShown="0" tableBorderDxfId="173">
  <autoFilter ref="A16:E27" xr:uid="{00000000-0009-0000-0100-00001D000000}"/>
  <tableColumns count="5">
    <tableColumn id="1" xr3:uid="{00000000-0010-0000-1C00-000001000000}" name="NOM " dataDxfId="172"/>
    <tableColumn id="2" xr3:uid="{00000000-0010-0000-1C00-000002000000}" name="PRENOM" dataDxfId="171"/>
    <tableColumn id="3" xr3:uid="{00000000-0010-0000-1C00-000003000000}" name="Colonne1" dataDxfId="170">
      <calculatedColumnFormula>TRIM(CONCATENATE(B17,A17))</calculatedColumnFormula>
    </tableColumn>
    <tableColumn id="6" xr3:uid="{00000000-0010-0000-1C00-000006000000}" name="Catégorie" dataDxfId="169"/>
    <tableColumn id="5" xr3:uid="{00000000-0010-0000-1C00-000005000000}" name="BRUT" dataDxfId="168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au5152331" displayName="Tableau5152331" ref="A32:E36" totalsRowShown="0" tableBorderDxfId="167">
  <autoFilter ref="A32:E36" xr:uid="{00000000-0009-0000-0100-00001E000000}"/>
  <tableColumns count="5">
    <tableColumn id="1" xr3:uid="{00000000-0010-0000-1D00-000001000000}" name="NOM "/>
    <tableColumn id="2" xr3:uid="{00000000-0010-0000-1D00-000002000000}" name="PRENOM" dataDxfId="166"/>
    <tableColumn id="3" xr3:uid="{00000000-0010-0000-1D00-000003000000}" name="Colonne1" dataDxfId="165">
      <calculatedColumnFormula>TRIM(CONCATENATE(B33,A33))</calculatedColumnFormula>
    </tableColumn>
    <tableColumn id="6" xr3:uid="{00000000-0010-0000-1D00-000006000000}" name="Catégorie" dataDxfId="164"/>
    <tableColumn id="5" xr3:uid="{00000000-0010-0000-1D00-000005000000}" name="BRUT" dataDxfId="163"/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au6162432" displayName="Tableau6162432" ref="A40:E46" totalsRowShown="0" tableBorderDxfId="162">
  <autoFilter ref="A40:E46" xr:uid="{00000000-0009-0000-0100-00001F000000}"/>
  <tableColumns count="5">
    <tableColumn id="1" xr3:uid="{00000000-0010-0000-1E00-000001000000}" name="NOM " dataDxfId="161"/>
    <tableColumn id="2" xr3:uid="{00000000-0010-0000-1E00-000002000000}" name="PRENOM" dataDxfId="160"/>
    <tableColumn id="3" xr3:uid="{00000000-0010-0000-1E00-000003000000}" name="Colonne1" dataDxfId="159">
      <calculatedColumnFormula>TRIM(CONCATENATE(B41,A41))</calculatedColumnFormula>
    </tableColumn>
    <tableColumn id="6" xr3:uid="{00000000-0010-0000-1E00-000006000000}" name="Catégorie" dataDxfId="158"/>
    <tableColumn id="5" xr3:uid="{00000000-0010-0000-1E00-000005000000}" name="BRUT" dataDxfId="157"/>
  </tableColumns>
  <tableStyleInfo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au7172533" displayName="Tableau7172533" ref="A50:E54" totalsRowShown="0" tableBorderDxfId="156">
  <autoFilter ref="A50:E54" xr:uid="{00000000-0009-0000-0100-000020000000}"/>
  <tableColumns count="5">
    <tableColumn id="1" xr3:uid="{00000000-0010-0000-1F00-000001000000}" name="NOM " dataDxfId="155"/>
    <tableColumn id="2" xr3:uid="{00000000-0010-0000-1F00-000002000000}" name="PRENOM" dataDxfId="154"/>
    <tableColumn id="3" xr3:uid="{00000000-0010-0000-1F00-000003000000}" name="Colonne1" dataDxfId="153">
      <calculatedColumnFormula>TRIM(CONCATENATE(B51,A51))</calculatedColumnFormula>
    </tableColumn>
    <tableColumn id="6" xr3:uid="{00000000-0010-0000-1F00-000006000000}" name="Catégorie" dataDxfId="152"/>
    <tableColumn id="5" xr3:uid="{00000000-0010-0000-1F00-000005000000}" name="BRUT" dataDxfId="151"/>
  </tableColumns>
  <tableStyleInfo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au8182634" displayName="Tableau8182634" ref="A58:E64" totalsRowShown="0" tableBorderDxfId="150">
  <autoFilter ref="A58:E64" xr:uid="{00000000-0009-0000-0100-000021000000}"/>
  <tableColumns count="5">
    <tableColumn id="1" xr3:uid="{00000000-0010-0000-2000-000001000000}" name="NOM " dataDxfId="149"/>
    <tableColumn id="2" xr3:uid="{00000000-0010-0000-2000-000002000000}" name="PRENOM" dataDxfId="148"/>
    <tableColumn id="3" xr3:uid="{00000000-0010-0000-2000-000003000000}" name="Colonne1" dataDxfId="147">
      <calculatedColumnFormula>TRIM(CONCATENATE(B59,A59))</calculatedColumnFormula>
    </tableColumn>
    <tableColumn id="6" xr3:uid="{00000000-0010-0000-2000-000006000000}" name="Catégorie" dataDxfId="146"/>
    <tableColumn id="5" xr3:uid="{00000000-0010-0000-2000-000005000000}" name="BRUT" dataDxfId="145"/>
  </tableColumns>
  <tableStyleInfo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au9192735" displayName="Tableau9192735" ref="A68:E71" totalsRowShown="0" tableBorderDxfId="144">
  <autoFilter ref="A68:E71" xr:uid="{00000000-0009-0000-0100-000022000000}"/>
  <tableColumns count="5">
    <tableColumn id="1" xr3:uid="{00000000-0010-0000-2100-000001000000}" name="NOM " dataDxfId="143"/>
    <tableColumn id="2" xr3:uid="{00000000-0010-0000-2100-000002000000}" name="PRENOM" dataDxfId="142"/>
    <tableColumn id="3" xr3:uid="{00000000-0010-0000-2100-000003000000}" name="Colonne1" dataDxfId="141">
      <calculatedColumnFormula>TRIM(CONCATENATE(B69,A69))</calculatedColumnFormula>
    </tableColumn>
    <tableColumn id="6" xr3:uid="{00000000-0010-0000-2100-000006000000}" name="Catégorie" dataDxfId="140"/>
    <tableColumn id="5" xr3:uid="{00000000-0010-0000-2100-000005000000}" name="BRUT" dataDxfId="139"/>
  </tableColumns>
  <tableStyleInfo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au11202836" displayName="Tableau11202836" ref="O6:Q13" totalsRowShown="0" tableBorderDxfId="138">
  <autoFilter ref="O6:Q13" xr:uid="{00000000-0009-0000-0100-000023000000}"/>
  <tableColumns count="3">
    <tableColumn id="1" xr3:uid="{00000000-0010-0000-2200-000001000000}" name="EQUIPES" dataDxfId="137"/>
    <tableColumn id="2" xr3:uid="{00000000-0010-0000-2200-000002000000}" name="SCORE Brut" dataDxfId="136"/>
    <tableColumn id="3" xr3:uid="{00000000-0010-0000-2200-000003000000}" name="CLASSEMENT" dataDxfId="135">
      <calculatedColumnFormula>RANK(P7, P$7:P$13, 1) + COUNTIF(P$7:P7, P7) - 1</calculatedColumnFormula>
    </tableColumn>
  </tableColumns>
  <tableStyleInfo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au313212937" displayName="Tableau313212937" ref="A4:E13" totalsRowShown="0" tableBorderDxfId="134">
  <autoFilter ref="A4:E13" xr:uid="{00000000-0009-0000-0100-000024000000}"/>
  <tableColumns count="5">
    <tableColumn id="1" xr3:uid="{00000000-0010-0000-2300-000001000000}" name="NOM " dataDxfId="133"/>
    <tableColumn id="2" xr3:uid="{00000000-0010-0000-2300-000002000000}" name="PRENOM" dataDxfId="132"/>
    <tableColumn id="3" xr3:uid="{00000000-0010-0000-2300-000003000000}" name="Colonne1" dataDxfId="131">
      <calculatedColumnFormula>TRIM(CONCATENATE(B5,A5))</calculatedColumnFormula>
    </tableColumn>
    <tableColumn id="6" xr3:uid="{00000000-0010-0000-2300-000006000000}" name="Catégorie" dataDxfId="130"/>
    <tableColumn id="5" xr3:uid="{00000000-0010-0000-2300-000005000000}" name="BRUT" dataDxfId="129"/>
  </tableColumns>
  <tableStyleInfo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au414223038" displayName="Tableau414223038" ref="A17:E29" totalsRowShown="0" tableBorderDxfId="128">
  <autoFilter ref="A17:E29" xr:uid="{00000000-0009-0000-0100-000025000000}"/>
  <tableColumns count="5">
    <tableColumn id="1" xr3:uid="{00000000-0010-0000-2400-000001000000}" name="NOM " dataDxfId="127"/>
    <tableColumn id="2" xr3:uid="{00000000-0010-0000-2400-000002000000}" name="PRENOM" dataDxfId="126"/>
    <tableColumn id="3" xr3:uid="{00000000-0010-0000-2400-000003000000}" name="Colonne1" dataDxfId="125">
      <calculatedColumnFormula>TRIM(CONCATENATE(B18,A18))</calculatedColumnFormula>
    </tableColumn>
    <tableColumn id="6" xr3:uid="{00000000-0010-0000-2400-000006000000}" name="Catégorie" dataDxfId="124"/>
    <tableColumn id="5" xr3:uid="{00000000-0010-0000-2400-000005000000}" name="BRUT" dataDxfId="123"/>
  </tableColumns>
  <tableStyleInfo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au515233139" displayName="Tableau515233139" ref="A33:E37" totalsRowShown="0" tableBorderDxfId="122">
  <autoFilter ref="A33:E37" xr:uid="{00000000-0009-0000-0100-000026000000}"/>
  <tableColumns count="5">
    <tableColumn id="1" xr3:uid="{00000000-0010-0000-2500-000001000000}" name="NOM "/>
    <tableColumn id="2" xr3:uid="{00000000-0010-0000-2500-000002000000}" name="PRENOM" dataDxfId="121"/>
    <tableColumn id="3" xr3:uid="{00000000-0010-0000-2500-000003000000}" name="Colonne1" dataDxfId="120">
      <calculatedColumnFormula>TRIM(CONCATENATE(B34,A34))</calculatedColumnFormula>
    </tableColumn>
    <tableColumn id="6" xr3:uid="{00000000-0010-0000-2500-000006000000}" name="Catégorie" dataDxfId="119"/>
    <tableColumn id="5" xr3:uid="{00000000-0010-0000-2500-000005000000}" name="BRUT" dataDxfId="118"/>
  </tableColumns>
  <tableStyleInfo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au616243240" displayName="Tableau616243240" ref="A41:E53" totalsRowShown="0" tableBorderDxfId="117">
  <autoFilter ref="A41:E53" xr:uid="{00000000-0009-0000-0100-000027000000}"/>
  <tableColumns count="5">
    <tableColumn id="1" xr3:uid="{00000000-0010-0000-2600-000001000000}" name="NOM " dataDxfId="116"/>
    <tableColumn id="2" xr3:uid="{00000000-0010-0000-2600-000002000000}" name="PRENOM" dataDxfId="115"/>
    <tableColumn id="3" xr3:uid="{00000000-0010-0000-2600-000003000000}" name="Colonne1" dataDxfId="114">
      <calculatedColumnFormula>TRIM(CONCATENATE(B42,A42))</calculatedColumnFormula>
    </tableColumn>
    <tableColumn id="6" xr3:uid="{00000000-0010-0000-2600-000006000000}" name="Catégorie" dataDxfId="113"/>
    <tableColumn id="5" xr3:uid="{00000000-0010-0000-2600-000005000000}" name="BRUT" dataDxfId="112"/>
  </tableColumns>
  <tableStyleInfo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au717253341" displayName="Tableau717253341" ref="A57:E66" totalsRowShown="0" tableBorderDxfId="111">
  <autoFilter ref="A57:E66" xr:uid="{00000000-0009-0000-0100-000028000000}"/>
  <tableColumns count="5">
    <tableColumn id="1" xr3:uid="{00000000-0010-0000-2700-000001000000}" name="NOM " dataDxfId="110"/>
    <tableColumn id="2" xr3:uid="{00000000-0010-0000-2700-000002000000}" name="PRENOM" dataDxfId="109"/>
    <tableColumn id="3" xr3:uid="{00000000-0010-0000-2700-000003000000}" name="Colonne1" dataDxfId="108">
      <calculatedColumnFormula>TRIM(CONCATENATE(B58,A58))</calculatedColumnFormula>
    </tableColumn>
    <tableColumn id="6" xr3:uid="{00000000-0010-0000-2700-000006000000}" name="Catégorie" dataDxfId="107"/>
    <tableColumn id="5" xr3:uid="{00000000-0010-0000-2700-000005000000}" name="BRUT" dataDxfId="106"/>
  </tableColumns>
  <tableStyleInfo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au818263442" displayName="Tableau818263442" ref="A70:E74" totalsRowShown="0" tableBorderDxfId="105">
  <autoFilter ref="A70:E74" xr:uid="{00000000-0009-0000-0100-000029000000}"/>
  <tableColumns count="5">
    <tableColumn id="1" xr3:uid="{00000000-0010-0000-2800-000001000000}" name="NOM " dataDxfId="104" dataCellStyle="Excel Built-in Normal"/>
    <tableColumn id="2" xr3:uid="{00000000-0010-0000-2800-000002000000}" name="PRENOM" dataDxfId="103"/>
    <tableColumn id="3" xr3:uid="{00000000-0010-0000-2800-000003000000}" name="Colonne1" dataDxfId="102">
      <calculatedColumnFormula>TRIM(CONCATENATE(B71,A71))</calculatedColumnFormula>
    </tableColumn>
    <tableColumn id="6" xr3:uid="{00000000-0010-0000-2800-000006000000}" name="Catégorie" dataDxfId="101"/>
    <tableColumn id="5" xr3:uid="{00000000-0010-0000-2800-000005000000}" name="BRUT" dataDxfId="100"/>
  </tableColumns>
  <tableStyleInfo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au919273543" displayName="Tableau919273543" ref="A78:E86" totalsRowShown="0" tableBorderDxfId="99">
  <autoFilter ref="A78:E86" xr:uid="{00000000-0009-0000-0100-00002A000000}"/>
  <tableColumns count="5">
    <tableColumn id="1" xr3:uid="{00000000-0010-0000-2900-000001000000}" name="NOM " dataDxfId="98"/>
    <tableColumn id="2" xr3:uid="{00000000-0010-0000-2900-000002000000}" name="PRENOM" dataDxfId="97"/>
    <tableColumn id="3" xr3:uid="{00000000-0010-0000-2900-000003000000}" name="Colonne1" dataDxfId="96">
      <calculatedColumnFormula>TRIM(CONCATENATE(B79,A79))</calculatedColumnFormula>
    </tableColumn>
    <tableColumn id="6" xr3:uid="{00000000-0010-0000-2900-000006000000}" name="Catégorie" dataDxfId="95"/>
    <tableColumn id="5" xr3:uid="{00000000-0010-0000-2900-000005000000}" name="BRUT" dataDxfId="94"/>
  </tableColumns>
  <tableStyleInfo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au1120283644" displayName="Tableau1120283644" ref="O6:Q13" totalsRowShown="0" tableBorderDxfId="93">
  <autoFilter ref="O6:Q13" xr:uid="{00000000-0009-0000-0100-00002B000000}"/>
  <tableColumns count="3">
    <tableColumn id="1" xr3:uid="{00000000-0010-0000-2A00-000001000000}" name="EQUIPES" dataDxfId="92"/>
    <tableColumn id="2" xr3:uid="{00000000-0010-0000-2A00-000002000000}" name="SCORE Brut" dataDxfId="91"/>
    <tableColumn id="3" xr3:uid="{00000000-0010-0000-2A00-000003000000}" name="CLASSEMENT" dataDxfId="90">
      <calculatedColumnFormula>RANK(P7, P$7:P$13, 1) + COUNTIF(P$7:P7, P7) - 1</calculatedColumnFormula>
    </tableColumn>
  </tableColumns>
  <tableStyleInfo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au31321293745" displayName="Tableau31321293745" ref="A4:E19" totalsRowShown="0" tableBorderDxfId="89">
  <autoFilter ref="A4:E19" xr:uid="{00000000-0009-0000-0100-00002C000000}"/>
  <tableColumns count="5">
    <tableColumn id="1" xr3:uid="{00000000-0010-0000-2B00-000001000000}" name="NOM " dataDxfId="88"/>
    <tableColumn id="2" xr3:uid="{00000000-0010-0000-2B00-000002000000}" name="PRENOM" dataDxfId="87"/>
    <tableColumn id="3" xr3:uid="{00000000-0010-0000-2B00-000003000000}" name="Colonne1" dataDxfId="86">
      <calculatedColumnFormula>TRIM(CONCATENATE(B5,A5))</calculatedColumnFormula>
    </tableColumn>
    <tableColumn id="6" xr3:uid="{00000000-0010-0000-2B00-000006000000}" name="Catégorie" dataDxfId="85"/>
    <tableColumn id="5" xr3:uid="{00000000-0010-0000-2B00-000005000000}" name="BRUT" dataDxfId="84"/>
  </tableColumns>
  <tableStyleInfo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C000000}" name="Tableau41422303846" displayName="Tableau41422303846" ref="A23:E34" totalsRowShown="0" tableBorderDxfId="83">
  <autoFilter ref="A23:E34" xr:uid="{00000000-0009-0000-0100-00002D000000}"/>
  <tableColumns count="5">
    <tableColumn id="1" xr3:uid="{00000000-0010-0000-2C00-000001000000}" name="NOM " dataDxfId="82"/>
    <tableColumn id="2" xr3:uid="{00000000-0010-0000-2C00-000002000000}" name="PRENOM" dataDxfId="81"/>
    <tableColumn id="3" xr3:uid="{00000000-0010-0000-2C00-000003000000}" name="Colonne1" dataDxfId="80">
      <calculatedColumnFormula>TRIM(CONCATENATE(B24,A24))</calculatedColumnFormula>
    </tableColumn>
    <tableColumn id="6" xr3:uid="{00000000-0010-0000-2C00-000006000000}" name="Catégorie" dataDxfId="79"/>
    <tableColumn id="5" xr3:uid="{00000000-0010-0000-2C00-000005000000}" name="BRUT" dataDxfId="78"/>
  </tableColumns>
  <tableStyleInfo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2D000000}" name="Tableau51523313947" displayName="Tableau51523313947" ref="A39:E43" totalsRowShown="0" tableBorderDxfId="77">
  <autoFilter ref="A39:E43" xr:uid="{00000000-0009-0000-0100-00002E000000}"/>
  <tableColumns count="5">
    <tableColumn id="1" xr3:uid="{00000000-0010-0000-2D00-000001000000}" name="NOM "/>
    <tableColumn id="2" xr3:uid="{00000000-0010-0000-2D00-000002000000}" name="PRENOM" dataDxfId="76"/>
    <tableColumn id="3" xr3:uid="{00000000-0010-0000-2D00-000003000000}" name="Colonne1" dataDxfId="75">
      <calculatedColumnFormula>TRIM(CONCATENATE(B40,A40))</calculatedColumnFormula>
    </tableColumn>
    <tableColumn id="6" xr3:uid="{00000000-0010-0000-2D00-000006000000}" name="Catégorie" dataDxfId="74"/>
    <tableColumn id="5" xr3:uid="{00000000-0010-0000-2D00-000005000000}" name="BRUT" dataDxfId="73"/>
  </tableColumns>
  <tableStyleInfo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2E000000}" name="Tableau61624324048" displayName="Tableau61624324048" ref="A47:E64" totalsRowShown="0" tableBorderDxfId="72">
  <autoFilter ref="A47:E64" xr:uid="{00000000-0009-0000-0100-00002F000000}"/>
  <tableColumns count="5">
    <tableColumn id="1" xr3:uid="{00000000-0010-0000-2E00-000001000000}" name="NOM " dataDxfId="71"/>
    <tableColumn id="2" xr3:uid="{00000000-0010-0000-2E00-000002000000}" name="PRENOM" dataDxfId="70"/>
    <tableColumn id="3" xr3:uid="{00000000-0010-0000-2E00-000003000000}" name="Colonne1" dataDxfId="69">
      <calculatedColumnFormula>TRIM(CONCATENATE(B48,A48))</calculatedColumnFormula>
    </tableColumn>
    <tableColumn id="6" xr3:uid="{00000000-0010-0000-2E00-000006000000}" name="Catégorie" dataDxfId="68"/>
    <tableColumn id="5" xr3:uid="{00000000-0010-0000-2E00-000005000000}" name="BRUT" dataDxfId="67"/>
  </tableColumns>
  <tableStyleInfo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2F000000}" name="Tableau71725334149" displayName="Tableau71725334149" ref="A68:E77" totalsRowShown="0" tableBorderDxfId="66">
  <autoFilter ref="A68:E77" xr:uid="{00000000-0009-0000-0100-000030000000}"/>
  <tableColumns count="5">
    <tableColumn id="1" xr3:uid="{00000000-0010-0000-2F00-000001000000}" name="NOM " dataDxfId="65"/>
    <tableColumn id="2" xr3:uid="{00000000-0010-0000-2F00-000002000000}" name="PRENOM" dataDxfId="64"/>
    <tableColumn id="3" xr3:uid="{00000000-0010-0000-2F00-000003000000}" name="Colonne1" dataDxfId="63">
      <calculatedColumnFormula>TRIM(CONCATENATE(B69,A69))</calculatedColumnFormula>
    </tableColumn>
    <tableColumn id="6" xr3:uid="{00000000-0010-0000-2F00-000006000000}" name="Catégorie" dataDxfId="62"/>
    <tableColumn id="5" xr3:uid="{00000000-0010-0000-2F00-000005000000}" name="BRUT" dataDxfId="61"/>
  </tableColumns>
  <tableStyleInfo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000000-000C-0000-FFFF-FFFF30000000}" name="Tableau81826344250" displayName="Tableau81826344250" ref="A80:E85" totalsRowShown="0" tableBorderDxfId="60">
  <autoFilter ref="A80:E85" xr:uid="{00000000-0009-0000-0100-000031000000}"/>
  <tableColumns count="5">
    <tableColumn id="1" xr3:uid="{00000000-0010-0000-3000-000001000000}" name="NOM " dataDxfId="59" dataCellStyle="Excel Built-in Normal"/>
    <tableColumn id="2" xr3:uid="{00000000-0010-0000-3000-000002000000}" name="PRENOM" dataDxfId="58" dataCellStyle="Excel Built-in Normal"/>
    <tableColumn id="3" xr3:uid="{00000000-0010-0000-3000-000003000000}" name="Colonne1" dataDxfId="57">
      <calculatedColumnFormula>TRIM(CONCATENATE(B81,A81))</calculatedColumnFormula>
    </tableColumn>
    <tableColumn id="6" xr3:uid="{00000000-0010-0000-3000-000006000000}" name="Catégorie" dataDxfId="56"/>
    <tableColumn id="5" xr3:uid="{00000000-0010-0000-3000-000005000000}" name="BRUT" dataDxfId="55"/>
  </tableColumns>
  <tableStyleInfo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31000000}" name="Tableau91927354351" displayName="Tableau91927354351" ref="A89:E97" totalsRowShown="0" tableBorderDxfId="54">
  <autoFilter ref="A89:E97" xr:uid="{00000000-0009-0000-0100-000032000000}"/>
  <tableColumns count="5">
    <tableColumn id="1" xr3:uid="{00000000-0010-0000-3100-000001000000}" name="NOM " dataDxfId="53"/>
    <tableColumn id="2" xr3:uid="{00000000-0010-0000-3100-000002000000}" name="PRENOM" dataDxfId="52"/>
    <tableColumn id="3" xr3:uid="{00000000-0010-0000-3100-000003000000}" name="Colonne1" dataDxfId="51">
      <calculatedColumnFormula>TRIM(CONCATENATE(B90,A90))</calculatedColumnFormula>
    </tableColumn>
    <tableColumn id="6" xr3:uid="{00000000-0010-0000-3100-000006000000}" name="Catégorie" dataDxfId="50"/>
    <tableColumn id="5" xr3:uid="{00000000-0010-0000-3100-000005000000}" name="BRUT" dataDxfId="49"/>
  </tableColumns>
  <tableStyleInfo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32000000}" name="Tableau112028364452" displayName="Tableau112028364452" ref="O6:Q13" totalsRowShown="0" tableBorderDxfId="48">
  <autoFilter ref="O6:Q13" xr:uid="{00000000-0009-0000-0100-000033000000}"/>
  <tableColumns count="3">
    <tableColumn id="1" xr3:uid="{00000000-0010-0000-3200-000001000000}" name="EQUIPES" dataDxfId="47"/>
    <tableColumn id="2" xr3:uid="{00000000-0010-0000-3200-000002000000}" name="SCORE Brut" dataDxfId="46"/>
    <tableColumn id="3" xr3:uid="{00000000-0010-0000-3200-000003000000}" name="CLASSEMENT" dataDxfId="45">
      <calculatedColumnFormula>RANK(P7, P$7:P$13, 1) + COUNTIF(P$7:P7, P7) - 1</calculatedColumnFormula>
    </tableColumn>
  </tableColumns>
  <tableStyleInfo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33000000}" name="Tableau3132129374553" displayName="Tableau3132129374553" ref="A4:E12" totalsRowShown="0" tableBorderDxfId="44">
  <autoFilter ref="A4:E12" xr:uid="{00000000-0009-0000-0100-000034000000}"/>
  <tableColumns count="5">
    <tableColumn id="1" xr3:uid="{00000000-0010-0000-3300-000001000000}" name="NOM " dataDxfId="43"/>
    <tableColumn id="2" xr3:uid="{00000000-0010-0000-3300-000002000000}" name="PRENOM" dataDxfId="42"/>
    <tableColumn id="3" xr3:uid="{00000000-0010-0000-3300-000003000000}" name="Colonne1" dataDxfId="41">
      <calculatedColumnFormula>TRIM(CONCATENATE(#REF!,#REF!))</calculatedColumnFormula>
    </tableColumn>
    <tableColumn id="6" xr3:uid="{00000000-0010-0000-3300-000006000000}" name="Catégorie" dataDxfId="40"/>
    <tableColumn id="5" xr3:uid="{00000000-0010-0000-3300-000005000000}" name="BRUT" dataDxfId="39"/>
  </tableColumns>
  <tableStyleInfo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34000000}" name="Tableau4142230384654" displayName="Tableau4142230384654" ref="A16:E26" totalsRowShown="0" tableBorderDxfId="38">
  <autoFilter ref="A16:E26" xr:uid="{00000000-0009-0000-0100-000035000000}"/>
  <tableColumns count="5">
    <tableColumn id="1" xr3:uid="{00000000-0010-0000-3400-000001000000}" name="NOM " dataDxfId="37"/>
    <tableColumn id="2" xr3:uid="{00000000-0010-0000-3400-000002000000}" name="PRENOM" dataDxfId="36"/>
    <tableColumn id="3" xr3:uid="{00000000-0010-0000-3400-000003000000}" name="Colonne1" dataDxfId="35">
      <calculatedColumnFormula>TRIM(CONCATENATE(B17,A17))</calculatedColumnFormula>
    </tableColumn>
    <tableColumn id="6" xr3:uid="{00000000-0010-0000-3400-000006000000}" name="Catégorie" dataDxfId="34"/>
    <tableColumn id="5" xr3:uid="{00000000-0010-0000-3400-000005000000}" name="BRUT" dataDxfId="33"/>
  </tableColumns>
  <tableStyleInfo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au5152331394755" displayName="Tableau5152331394755" ref="A30:E34" totalsRowShown="0" tableBorderDxfId="32">
  <autoFilter ref="A30:E34" xr:uid="{00000000-0009-0000-0100-000036000000}"/>
  <tableColumns count="5">
    <tableColumn id="1" xr3:uid="{00000000-0010-0000-3500-000001000000}" name="NOM "/>
    <tableColumn id="2" xr3:uid="{00000000-0010-0000-3500-000002000000}" name="PRENOM" dataDxfId="31"/>
    <tableColumn id="3" xr3:uid="{00000000-0010-0000-3500-000003000000}" name="Colonne1" dataDxfId="30">
      <calculatedColumnFormula>TRIM(CONCATENATE(B31,A31))</calculatedColumnFormula>
    </tableColumn>
    <tableColumn id="6" xr3:uid="{00000000-0010-0000-3500-000006000000}" name="Catégorie" dataDxfId="29"/>
    <tableColumn id="5" xr3:uid="{00000000-0010-0000-3500-000005000000}" name="BRUT" dataDxfId="28"/>
  </tableColumns>
  <tableStyleInfo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au6162432404856" displayName="Tableau6162432404856" ref="A38:E52" totalsRowShown="0" tableBorderDxfId="27">
  <autoFilter ref="A38:E52" xr:uid="{00000000-0009-0000-0100-000037000000}"/>
  <tableColumns count="5">
    <tableColumn id="1" xr3:uid="{00000000-0010-0000-3600-000001000000}" name="NOM " dataDxfId="26"/>
    <tableColumn id="2" xr3:uid="{00000000-0010-0000-3600-000002000000}" name="PRENOM" dataDxfId="25"/>
    <tableColumn id="3" xr3:uid="{00000000-0010-0000-3600-000003000000}" name="Colonne1" dataDxfId="24">
      <calculatedColumnFormula>TRIM(CONCATENATE(B39,A39))</calculatedColumnFormula>
    </tableColumn>
    <tableColumn id="6" xr3:uid="{00000000-0010-0000-3600-000006000000}" name="Catégorie" dataDxfId="23"/>
    <tableColumn id="5" xr3:uid="{00000000-0010-0000-3600-000005000000}" name="BRUT" dataDxfId="22"/>
  </tableColumns>
  <tableStyleInfo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au7172533414957" displayName="Tableau7172533414957" ref="A56:E64" totalsRowShown="0" tableBorderDxfId="21">
  <autoFilter ref="A56:E64" xr:uid="{00000000-0009-0000-0100-000038000000}"/>
  <tableColumns count="5">
    <tableColumn id="1" xr3:uid="{00000000-0010-0000-3700-000001000000}" name="NOM " dataDxfId="20"/>
    <tableColumn id="2" xr3:uid="{00000000-0010-0000-3700-000002000000}" name="PRENOM" dataDxfId="19"/>
    <tableColumn id="3" xr3:uid="{00000000-0010-0000-3700-000003000000}" name="Colonne1" dataDxfId="18">
      <calculatedColumnFormula>TRIM(CONCATENATE(B57,A57))</calculatedColumnFormula>
    </tableColumn>
    <tableColumn id="6" xr3:uid="{00000000-0010-0000-3700-000006000000}" name="Catégorie" dataDxfId="17"/>
    <tableColumn id="5" xr3:uid="{00000000-0010-0000-3700-000005000000}" name="BRUT" dataDxfId="16"/>
  </tableColumns>
  <tableStyleInfo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38000000}" name="Tableau8182634425058" displayName="Tableau8182634425058" ref="A68:E74" totalsRowShown="0" tableBorderDxfId="15">
  <autoFilter ref="A68:E74" xr:uid="{00000000-0009-0000-0100-000039000000}"/>
  <tableColumns count="5">
    <tableColumn id="1" xr3:uid="{00000000-0010-0000-3800-000001000000}" name="NOM " dataDxfId="14"/>
    <tableColumn id="2" xr3:uid="{00000000-0010-0000-3800-000002000000}" name="PRENOM" dataDxfId="13"/>
    <tableColumn id="3" xr3:uid="{00000000-0010-0000-3800-000003000000}" name="Colonne1" dataDxfId="12">
      <calculatedColumnFormula>TRIM(CONCATENATE(B69,A69))</calculatedColumnFormula>
    </tableColumn>
    <tableColumn id="6" xr3:uid="{00000000-0010-0000-3800-000006000000}" name="Catégorie" dataDxfId="11"/>
    <tableColumn id="5" xr3:uid="{00000000-0010-0000-3800-000005000000}" name="BRUT" dataDxfId="10"/>
  </tableColumns>
  <tableStyleInfo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39000000}" name="Tableau9192735435159" displayName="Tableau9192735435159" ref="A78:E84" totalsRowShown="0" tableBorderDxfId="9">
  <autoFilter ref="A78:E84" xr:uid="{00000000-0009-0000-0100-00003A000000}"/>
  <tableColumns count="5">
    <tableColumn id="1" xr3:uid="{00000000-0010-0000-3900-000001000000}" name="NOM " dataDxfId="8"/>
    <tableColumn id="2" xr3:uid="{00000000-0010-0000-3900-000002000000}" name="PRENOM" dataDxfId="7"/>
    <tableColumn id="3" xr3:uid="{00000000-0010-0000-3900-000003000000}" name="Colonne1" dataDxfId="6">
      <calculatedColumnFormula>TRIM(CONCATENATE(B79,A79))</calculatedColumnFormula>
    </tableColumn>
    <tableColumn id="6" xr3:uid="{00000000-0010-0000-3900-000006000000}" name="Catégorie" dataDxfId="5"/>
    <tableColumn id="5" xr3:uid="{00000000-0010-0000-3900-000005000000}" name="BRUT" dataDxfId="4"/>
  </tableColumns>
  <tableStyleInfo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3A000000}" name="Tableau11202836445260" displayName="Tableau11202836445260" ref="O6:Q13" totalsRowShown="0" tableBorderDxfId="3">
  <autoFilter ref="O6:Q13" xr:uid="{00000000-0009-0000-0100-00003B000000}"/>
  <tableColumns count="3">
    <tableColumn id="1" xr3:uid="{00000000-0010-0000-3A00-000001000000}" name="EQUIPES" dataDxfId="2"/>
    <tableColumn id="2" xr3:uid="{00000000-0010-0000-3A00-000002000000}" name="SCORE Brut" dataDxfId="1"/>
    <tableColumn id="3" xr3:uid="{00000000-0010-0000-3A00-000003000000}" name="CLASSEMENT" dataDxfId="0">
      <calculatedColumnFormula>RANK(P7, P$7:P$13, 1) + COUNTIF(P$7:P7, P7) - 1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7.xml"/><Relationship Id="rId11" Type="http://schemas.openxmlformats.org/officeDocument/2006/relationships/comments" Target="../comments1.xml"/><Relationship Id="rId5" Type="http://schemas.openxmlformats.org/officeDocument/2006/relationships/table" Target="../tables/table6.xml"/><Relationship Id="rId10" Type="http://schemas.openxmlformats.org/officeDocument/2006/relationships/table" Target="../tables/table11.xml"/><Relationship Id="rId4" Type="http://schemas.openxmlformats.org/officeDocument/2006/relationships/table" Target="../tables/table5.xml"/><Relationship Id="rId9" Type="http://schemas.openxmlformats.org/officeDocument/2006/relationships/table" Target="../tables/table10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8.xml"/><Relationship Id="rId3" Type="http://schemas.openxmlformats.org/officeDocument/2006/relationships/table" Target="../tables/table13.xml"/><Relationship Id="rId7" Type="http://schemas.openxmlformats.org/officeDocument/2006/relationships/table" Target="../tables/table17.xml"/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16.xml"/><Relationship Id="rId5" Type="http://schemas.openxmlformats.org/officeDocument/2006/relationships/table" Target="../tables/table15.xml"/><Relationship Id="rId4" Type="http://schemas.openxmlformats.org/officeDocument/2006/relationships/table" Target="../tables/table14.xml"/><Relationship Id="rId9" Type="http://schemas.openxmlformats.org/officeDocument/2006/relationships/table" Target="../tables/table19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6.xml"/><Relationship Id="rId3" Type="http://schemas.openxmlformats.org/officeDocument/2006/relationships/table" Target="../tables/table21.xml"/><Relationship Id="rId7" Type="http://schemas.openxmlformats.org/officeDocument/2006/relationships/table" Target="../tables/table25.xml"/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24.xml"/><Relationship Id="rId5" Type="http://schemas.openxmlformats.org/officeDocument/2006/relationships/table" Target="../tables/table23.xml"/><Relationship Id="rId4" Type="http://schemas.openxmlformats.org/officeDocument/2006/relationships/table" Target="../tables/table22.xml"/><Relationship Id="rId9" Type="http://schemas.openxmlformats.org/officeDocument/2006/relationships/table" Target="../tables/table27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4.xml"/><Relationship Id="rId3" Type="http://schemas.openxmlformats.org/officeDocument/2006/relationships/table" Target="../tables/table29.xml"/><Relationship Id="rId7" Type="http://schemas.openxmlformats.org/officeDocument/2006/relationships/table" Target="../tables/table33.xml"/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6.bin"/><Relationship Id="rId6" Type="http://schemas.openxmlformats.org/officeDocument/2006/relationships/table" Target="../tables/table32.xml"/><Relationship Id="rId5" Type="http://schemas.openxmlformats.org/officeDocument/2006/relationships/table" Target="../tables/table31.xml"/><Relationship Id="rId4" Type="http://schemas.openxmlformats.org/officeDocument/2006/relationships/table" Target="../tables/table30.xml"/><Relationship Id="rId9" Type="http://schemas.openxmlformats.org/officeDocument/2006/relationships/table" Target="../tables/table35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2.xml"/><Relationship Id="rId3" Type="http://schemas.openxmlformats.org/officeDocument/2006/relationships/table" Target="../tables/table37.xml"/><Relationship Id="rId7" Type="http://schemas.openxmlformats.org/officeDocument/2006/relationships/table" Target="../tables/table41.xml"/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7.bin"/><Relationship Id="rId6" Type="http://schemas.openxmlformats.org/officeDocument/2006/relationships/table" Target="../tables/table40.xml"/><Relationship Id="rId5" Type="http://schemas.openxmlformats.org/officeDocument/2006/relationships/table" Target="../tables/table39.xml"/><Relationship Id="rId4" Type="http://schemas.openxmlformats.org/officeDocument/2006/relationships/table" Target="../tables/table38.xml"/><Relationship Id="rId9" Type="http://schemas.openxmlformats.org/officeDocument/2006/relationships/table" Target="../tables/table43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0.xml"/><Relationship Id="rId3" Type="http://schemas.openxmlformats.org/officeDocument/2006/relationships/table" Target="../tables/table45.xml"/><Relationship Id="rId7" Type="http://schemas.openxmlformats.org/officeDocument/2006/relationships/table" Target="../tables/table49.xml"/><Relationship Id="rId2" Type="http://schemas.openxmlformats.org/officeDocument/2006/relationships/table" Target="../tables/table44.xml"/><Relationship Id="rId1" Type="http://schemas.openxmlformats.org/officeDocument/2006/relationships/printerSettings" Target="../printerSettings/printerSettings8.bin"/><Relationship Id="rId6" Type="http://schemas.openxmlformats.org/officeDocument/2006/relationships/table" Target="../tables/table48.xml"/><Relationship Id="rId5" Type="http://schemas.openxmlformats.org/officeDocument/2006/relationships/table" Target="../tables/table47.xml"/><Relationship Id="rId4" Type="http://schemas.openxmlformats.org/officeDocument/2006/relationships/table" Target="../tables/table46.xml"/><Relationship Id="rId9" Type="http://schemas.openxmlformats.org/officeDocument/2006/relationships/table" Target="../tables/table51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8.xml"/><Relationship Id="rId3" Type="http://schemas.openxmlformats.org/officeDocument/2006/relationships/table" Target="../tables/table53.xml"/><Relationship Id="rId7" Type="http://schemas.openxmlformats.org/officeDocument/2006/relationships/table" Target="../tables/table57.xml"/><Relationship Id="rId2" Type="http://schemas.openxmlformats.org/officeDocument/2006/relationships/table" Target="../tables/table52.xml"/><Relationship Id="rId1" Type="http://schemas.openxmlformats.org/officeDocument/2006/relationships/printerSettings" Target="../printerSettings/printerSettings9.bin"/><Relationship Id="rId6" Type="http://schemas.openxmlformats.org/officeDocument/2006/relationships/table" Target="../tables/table56.xml"/><Relationship Id="rId5" Type="http://schemas.openxmlformats.org/officeDocument/2006/relationships/table" Target="../tables/table55.xml"/><Relationship Id="rId4" Type="http://schemas.openxmlformats.org/officeDocument/2006/relationships/table" Target="../tables/table54.xml"/><Relationship Id="rId9" Type="http://schemas.openxmlformats.org/officeDocument/2006/relationships/table" Target="../tables/table5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F9A3B-3BBC-E54C-B9DE-1A17D20A60AD}">
  <sheetPr codeName="Feuil10">
    <pageSetUpPr fitToPage="1"/>
  </sheetPr>
  <dimension ref="A1:Q103"/>
  <sheetViews>
    <sheetView tabSelected="1" topLeftCell="A3" zoomScale="66" zoomScaleNormal="66" zoomScalePageLayoutView="85" workbookViewId="0">
      <selection activeCell="O20" sqref="O20"/>
    </sheetView>
  </sheetViews>
  <sheetFormatPr baseColWidth="10" defaultRowHeight="17.399999999999999"/>
  <cols>
    <col min="1" max="1" width="8.44140625" style="9" customWidth="1"/>
    <col min="2" max="2" width="26.33203125" style="10" customWidth="1"/>
    <col min="3" max="3" width="17.109375" customWidth="1"/>
    <col min="4" max="4" width="24.109375" bestFit="1" customWidth="1"/>
    <col min="5" max="5" width="11.33203125" style="11" customWidth="1"/>
    <col min="6" max="6" width="12.44140625" style="11" customWidth="1"/>
    <col min="7" max="8" width="11.33203125" style="11" customWidth="1"/>
    <col min="9" max="11" width="11.33203125" style="12" customWidth="1"/>
    <col min="12" max="12" width="8.44140625" style="12" customWidth="1"/>
    <col min="13" max="13" width="12" style="12" customWidth="1"/>
    <col min="14" max="14" width="12" style="11" customWidth="1"/>
    <col min="15" max="15" width="11" style="9" customWidth="1"/>
    <col min="16" max="16" width="10.6640625" bestFit="1" customWidth="1"/>
  </cols>
  <sheetData>
    <row r="1" spans="1:16" ht="77.55" customHeight="1" thickBot="1">
      <c r="A1" s="267" t="s">
        <v>185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</row>
    <row r="2" spans="1:16" ht="12.75" customHeight="1" thickBot="1">
      <c r="A2" s="1"/>
      <c r="B2" s="2"/>
      <c r="C2" s="2"/>
      <c r="D2" s="2"/>
      <c r="E2" s="3"/>
      <c r="F2" s="3"/>
      <c r="G2" s="3"/>
      <c r="H2" s="3"/>
      <c r="I2" s="4"/>
      <c r="J2" s="4"/>
      <c r="K2" s="4"/>
      <c r="L2" s="4"/>
      <c r="M2" s="4"/>
      <c r="N2" s="3"/>
      <c r="O2" s="1"/>
    </row>
    <row r="3" spans="1:16" ht="45" customHeight="1" thickBot="1">
      <c r="B3" s="40" t="s">
        <v>1</v>
      </c>
      <c r="C3" s="41"/>
      <c r="D3" s="42"/>
      <c r="E3" s="18" t="s">
        <v>2</v>
      </c>
      <c r="F3" s="18" t="s">
        <v>3</v>
      </c>
      <c r="G3" s="16" t="s">
        <v>4</v>
      </c>
      <c r="H3" s="16" t="s">
        <v>5</v>
      </c>
      <c r="I3" s="16" t="s">
        <v>61</v>
      </c>
      <c r="J3" s="16" t="s">
        <v>75</v>
      </c>
      <c r="K3" s="16" t="s">
        <v>76</v>
      </c>
      <c r="L3" s="5"/>
      <c r="M3" s="17"/>
      <c r="N3" s="13"/>
      <c r="O3" s="6"/>
    </row>
    <row r="4" spans="1:16" ht="76.95" customHeight="1" thickBot="1">
      <c r="B4" s="46" t="s">
        <v>69</v>
      </c>
      <c r="C4" s="47" t="s">
        <v>70</v>
      </c>
      <c r="D4" s="48" t="s">
        <v>71</v>
      </c>
      <c r="E4" s="49" t="s">
        <v>177</v>
      </c>
      <c r="F4" s="49" t="s">
        <v>178</v>
      </c>
      <c r="G4" s="49" t="s">
        <v>179</v>
      </c>
      <c r="H4" s="49" t="s">
        <v>210</v>
      </c>
      <c r="I4" s="49" t="s">
        <v>181</v>
      </c>
      <c r="J4" s="49" t="s">
        <v>182</v>
      </c>
      <c r="K4" s="49" t="s">
        <v>183</v>
      </c>
      <c r="L4" s="50" t="s">
        <v>0</v>
      </c>
      <c r="M4" s="51" t="s">
        <v>98</v>
      </c>
      <c r="N4" s="51" t="s">
        <v>99</v>
      </c>
      <c r="O4" s="52" t="s">
        <v>127</v>
      </c>
      <c r="P4" s="60" t="s">
        <v>121</v>
      </c>
    </row>
    <row r="5" spans="1:16" ht="19.95" customHeight="1">
      <c r="B5" s="7" t="s">
        <v>9</v>
      </c>
      <c r="C5" s="7" t="s">
        <v>10</v>
      </c>
      <c r="D5" s="31" t="s">
        <v>11</v>
      </c>
      <c r="E5" s="185">
        <f>_xlfn.IFNA(VLOOKUP(TRIM(CONCATENATE(Tableau111[[#This Row],[PRENOM]],Tableau111[[#This Row],[NOM]])),'T1'!$C$5:$E$106,3,FALSE),90)</f>
        <v>53</v>
      </c>
      <c r="F5" s="198">
        <f>_xlfn.IFNA(VLOOKUP(TRIM(CONCATENATE(Tableau111[[#This Row],[PRENOM]],Tableau111[[#This Row],[NOM]])),'T2'!$C$5:$E$94,3,FALSE),90)</f>
        <v>57</v>
      </c>
      <c r="G5" s="203">
        <f>_xlfn.IFNA(VLOOKUP(TRIM(CONCATENATE(Tableau111[[#This Row],[PRENOM]],Tableau111[[#This Row],[NOM]])),'T3'!$C$6:$E$115,3,FALSE),90)</f>
        <v>59</v>
      </c>
      <c r="H5" s="208">
        <f>_xlfn.IFNA(VLOOKUP(TRIM(CONCATENATE(Tableau111[[#This Row],[PRENOM]],Tableau111[[#This Row],[NOM]])),'T4'!$C$5:$E$100,3,FALSE),90)</f>
        <v>62</v>
      </c>
      <c r="I5" s="214">
        <f>_xlfn.IFNA(VLOOKUP(TRIM(CONCATENATE(Tableau111[[#This Row],[PRENOM]],Tableau111[[#This Row],[NOM]])),'T5'!$C$5:$E$115,3,FALSE),90)</f>
        <v>62</v>
      </c>
      <c r="J5" s="222">
        <f>_xlfn.IFNA(VLOOKUP(TRIM(CONCATENATE(Tableau111[[#This Row],[PRENOM]],Tableau111[[#This Row],[NOM]])),'T6'!$C$5:$E$126,3,FALSE),90)</f>
        <v>66</v>
      </c>
      <c r="K5" s="34">
        <f>_xlfn.IFNA(VLOOKUP(TRIM(CONCATENATE(Tableau111[[#This Row],[PRENOM]],Tableau111[[#This Row],[NOM]])),'T7'!$C$5:$E$113,3,FALSE),90)</f>
        <v>90</v>
      </c>
      <c r="L5" s="35">
        <f t="shared" ref="L5:L36" si="0">SUM(E5:K5)</f>
        <v>449</v>
      </c>
      <c r="M5" s="37">
        <f t="shared" ref="M5:M36" si="1">LARGE(E5:K5,1)</f>
        <v>90</v>
      </c>
      <c r="N5" s="38">
        <f t="shared" ref="N5:N36" si="2">LARGE(E5:K5,2)</f>
        <v>66</v>
      </c>
      <c r="O5" s="33">
        <f t="shared" ref="O5:O36" si="3">L5-M5-N5</f>
        <v>293</v>
      </c>
      <c r="P5" s="33">
        <f>RANK(Tableau111[[#This Row],[SCORE
Final 
2025]],Tableau111[SCORE
Final 
2025],1)</f>
        <v>1</v>
      </c>
    </row>
    <row r="6" spans="1:16" ht="19.95" customHeight="1">
      <c r="B6" s="15" t="s">
        <v>41</v>
      </c>
      <c r="C6" s="15" t="s">
        <v>42</v>
      </c>
      <c r="D6" s="31" t="s">
        <v>11</v>
      </c>
      <c r="E6" s="186">
        <f>_xlfn.IFNA(VLOOKUP(TRIM(CONCATENATE(Tableau111[[#This Row],[PRENOM]],Tableau111[[#This Row],[NOM]])),'T1'!$C$5:$E$106,3,FALSE),90)</f>
        <v>61</v>
      </c>
      <c r="F6" s="199">
        <f>_xlfn.IFNA(VLOOKUP(TRIM(CONCATENATE(Tableau111[[#This Row],[PRENOM]],Tableau111[[#This Row],[NOM]])),'T2'!$C$5:$E$94,3,FALSE),90)</f>
        <v>62</v>
      </c>
      <c r="G6" s="204">
        <f>_xlfn.IFNA(VLOOKUP(TRIM(CONCATENATE(Tableau111[[#This Row],[PRENOM]],Tableau111[[#This Row],[NOM]])),'T3'!$C$6:$E$115,3,FALSE),90)</f>
        <v>60</v>
      </c>
      <c r="H6" s="34">
        <f>_xlfn.IFNA(VLOOKUP(TRIM(CONCATENATE(Tableau111[[#This Row],[PRENOM]],Tableau111[[#This Row],[NOM]])),'T4'!$C$5:$E$100,3,FALSE),90)</f>
        <v>90</v>
      </c>
      <c r="I6" s="214">
        <f>_xlfn.IFNA(VLOOKUP(TRIM(CONCATENATE(Tableau111[[#This Row],[PRENOM]],Tableau111[[#This Row],[NOM]])),'T5'!$C$5:$E$115,3,FALSE),90)</f>
        <v>53</v>
      </c>
      <c r="J6" s="222">
        <f>_xlfn.IFNA(VLOOKUP(TRIM(CONCATENATE(Tableau111[[#This Row],[PRENOM]],Tableau111[[#This Row],[NOM]])),'T6'!$C$5:$E$126,3,FALSE),90)</f>
        <v>61</v>
      </c>
      <c r="K6" s="185">
        <f>_xlfn.IFNA(VLOOKUP(TRIM(CONCATENATE(Tableau111[[#This Row],[PRENOM]],Tableau111[[#This Row],[NOM]])),'T7'!$C$5:$E$113,3,FALSE),90)</f>
        <v>58</v>
      </c>
      <c r="L6" s="72">
        <f t="shared" si="0"/>
        <v>445</v>
      </c>
      <c r="M6" s="70">
        <f t="shared" si="1"/>
        <v>90</v>
      </c>
      <c r="N6" s="71">
        <f t="shared" si="2"/>
        <v>62</v>
      </c>
      <c r="O6" s="33">
        <f t="shared" si="3"/>
        <v>293</v>
      </c>
      <c r="P6" s="33">
        <f>RANK(Tableau111[[#This Row],[SCORE
Final 
2025]],Tableau111[SCORE
Final 
2025],1)</f>
        <v>1</v>
      </c>
    </row>
    <row r="7" spans="1:16" ht="19.95" customHeight="1">
      <c r="B7" s="7" t="s">
        <v>130</v>
      </c>
      <c r="C7" s="7" t="s">
        <v>131</v>
      </c>
      <c r="D7" s="31" t="s">
        <v>11</v>
      </c>
      <c r="E7" s="185">
        <f>_xlfn.IFNA(VLOOKUP(TRIM(CONCATENATE(Tableau111[[#This Row],[PRENOM]],Tableau111[[#This Row],[NOM]])),'T1'!$C$5:$E$106,3,FALSE),90)</f>
        <v>61</v>
      </c>
      <c r="F7" s="34">
        <f>_xlfn.IFNA(VLOOKUP(TRIM(CONCATENATE(Tableau111[[#This Row],[PRENOM]],Tableau111[[#This Row],[NOM]])),'T2'!$C$5:$E$94,3,FALSE),90)</f>
        <v>90</v>
      </c>
      <c r="G7" s="203">
        <f>_xlfn.IFNA(VLOOKUP(TRIM(CONCATENATE(Tableau111[[#This Row],[PRENOM]],Tableau111[[#This Row],[NOM]])),'T3'!$C$6:$E$115,3,FALSE),90)</f>
        <v>60</v>
      </c>
      <c r="H7" s="208">
        <f>_xlfn.IFNA(VLOOKUP(TRIM(CONCATENATE(Tableau111[[#This Row],[PRENOM]],Tableau111[[#This Row],[NOM]])),'T4'!$C$5:$E$100,3,FALSE),90)</f>
        <v>69</v>
      </c>
      <c r="I7" s="214">
        <v>57</v>
      </c>
      <c r="J7" s="222">
        <v>66</v>
      </c>
      <c r="K7" s="185">
        <f>_xlfn.IFNA(VLOOKUP(TRIM(CONCATENATE(Tableau111[[#This Row],[PRENOM]],Tableau111[[#This Row],[NOM]])),'T7'!$C$5:$E$113,3,FALSE),90)</f>
        <v>52</v>
      </c>
      <c r="L7" s="35">
        <f t="shared" si="0"/>
        <v>455</v>
      </c>
      <c r="M7" s="37">
        <f t="shared" si="1"/>
        <v>90</v>
      </c>
      <c r="N7" s="38">
        <f t="shared" si="2"/>
        <v>69</v>
      </c>
      <c r="O7" s="33">
        <f t="shared" si="3"/>
        <v>296</v>
      </c>
      <c r="P7" s="33">
        <f>RANK(Tableau111[[#This Row],[SCORE
Final 
2025]],Tableau111[SCORE
Final 
2025],1)</f>
        <v>3</v>
      </c>
    </row>
    <row r="8" spans="1:16" ht="19.95" customHeight="1">
      <c r="B8" s="7" t="s">
        <v>32</v>
      </c>
      <c r="C8" s="7" t="s">
        <v>33</v>
      </c>
      <c r="D8" s="30" t="s">
        <v>8</v>
      </c>
      <c r="E8" s="185">
        <f>_xlfn.IFNA(VLOOKUP(TRIM(CONCATENATE(Tableau111[[#This Row],[PRENOM]],Tableau111[[#This Row],[NOM]])),'T1'!$C$5:$E$106,3,FALSE),90)</f>
        <v>58</v>
      </c>
      <c r="F8" s="198">
        <f>_xlfn.IFNA(VLOOKUP(TRIM(CONCATENATE(Tableau111[[#This Row],[PRENOM]],Tableau111[[#This Row],[NOM]])),'T2'!$C$5:$E$94,3,FALSE),90)</f>
        <v>59</v>
      </c>
      <c r="G8" s="203">
        <f>_xlfn.IFNA(VLOOKUP(TRIM(CONCATENATE(Tableau111[[#This Row],[PRENOM]],Tableau111[[#This Row],[NOM]])),'T3'!$C$6:$E$115,3,FALSE),90)</f>
        <v>58</v>
      </c>
      <c r="H8" s="34">
        <f>_xlfn.IFNA(VLOOKUP(TRIM(CONCATENATE(Tableau111[[#This Row],[PRENOM]],Tableau111[[#This Row],[NOM]])),'T4'!$C$5:$E$100,3,FALSE),90)</f>
        <v>90</v>
      </c>
      <c r="I8" s="214">
        <f>_xlfn.IFNA(VLOOKUP(TRIM(CONCATENATE(Tableau111[[#This Row],[PRENOM]],Tableau111[[#This Row],[NOM]])),'T5'!$C$5:$E$115,3,FALSE),90)</f>
        <v>61</v>
      </c>
      <c r="J8" s="222">
        <f>_xlfn.IFNA(VLOOKUP(TRIM(CONCATENATE(Tableau111[[#This Row],[PRENOM]],Tableau111[[#This Row],[NOM]])),'T6'!$C$5:$E$126,3,FALSE),90)</f>
        <v>64</v>
      </c>
      <c r="K8" s="185">
        <f>_xlfn.IFNA(VLOOKUP(TRIM(CONCATENATE(Tableau111[[#This Row],[PRENOM]],Tableau111[[#This Row],[NOM]])),'T7'!$C$5:$E$113,3,FALSE),90)</f>
        <v>65</v>
      </c>
      <c r="L8" s="35">
        <f t="shared" si="0"/>
        <v>455</v>
      </c>
      <c r="M8" s="37">
        <f t="shared" si="1"/>
        <v>90</v>
      </c>
      <c r="N8" s="38">
        <f t="shared" si="2"/>
        <v>65</v>
      </c>
      <c r="O8" s="33">
        <f t="shared" si="3"/>
        <v>300</v>
      </c>
      <c r="P8" s="33">
        <f>RANK(Tableau111[[#This Row],[SCORE
Final 
2025]],Tableau111[SCORE
Final 
2025],1)</f>
        <v>4</v>
      </c>
    </row>
    <row r="9" spans="1:16" ht="21.75" customHeight="1">
      <c r="B9" s="7" t="s">
        <v>91</v>
      </c>
      <c r="C9" s="7" t="s">
        <v>44</v>
      </c>
      <c r="D9" s="30" t="s">
        <v>8</v>
      </c>
      <c r="E9" s="185">
        <f>_xlfn.IFNA(VLOOKUP(TRIM(CONCATENATE(Tableau111[[#This Row],[PRENOM]],Tableau111[[#This Row],[NOM]])),'T1'!$C$5:$E$106,3,FALSE),90)</f>
        <v>64</v>
      </c>
      <c r="F9" s="198">
        <f>_xlfn.IFNA(VLOOKUP(TRIM(CONCATENATE(Tableau111[[#This Row],[PRENOM]],Tableau111[[#This Row],[NOM]])),'T2'!$C$5:$E$94,3,FALSE),90)</f>
        <v>63</v>
      </c>
      <c r="G9" s="203">
        <f>_xlfn.IFNA(VLOOKUP(TRIM(CONCATENATE(Tableau111[[#This Row],[PRENOM]],Tableau111[[#This Row],[NOM]])),'T3'!$C$6:$E$115,3,FALSE),90)</f>
        <v>56</v>
      </c>
      <c r="H9" s="208">
        <f>_xlfn.IFNA(VLOOKUP(TRIM(CONCATENATE(Tableau111[[#This Row],[PRENOM]],Tableau111[[#This Row],[NOM]])),'T4'!$C$5:$E$100,3,FALSE),90)</f>
        <v>59</v>
      </c>
      <c r="I9" s="214">
        <v>64</v>
      </c>
      <c r="J9" s="222">
        <f>_xlfn.IFNA(VLOOKUP(TRIM(CONCATENATE(Tableau111[[#This Row],[PRENOM]],Tableau111[[#This Row],[NOM]])),'T6'!$C$5:$E$126,3,FALSE),90)</f>
        <v>71</v>
      </c>
      <c r="K9" s="185">
        <f>_xlfn.IFNA(VLOOKUP(TRIM(CONCATENATE(Tableau111[[#This Row],[PRENOM]],Tableau111[[#This Row],[NOM]])),'T7'!$C$5:$E$113,3,FALSE),90)</f>
        <v>65</v>
      </c>
      <c r="L9" s="35">
        <f t="shared" si="0"/>
        <v>442</v>
      </c>
      <c r="M9" s="37">
        <f t="shared" si="1"/>
        <v>71</v>
      </c>
      <c r="N9" s="38">
        <f t="shared" si="2"/>
        <v>65</v>
      </c>
      <c r="O9" s="33">
        <f t="shared" si="3"/>
        <v>306</v>
      </c>
      <c r="P9" s="33">
        <f>RANK(Tableau111[[#This Row],[SCORE
Final 
2025]],Tableau111[SCORE
Final 
2025],1)</f>
        <v>5</v>
      </c>
    </row>
    <row r="10" spans="1:16" ht="21.75" customHeight="1">
      <c r="B10" s="15" t="s">
        <v>74</v>
      </c>
      <c r="C10" s="159" t="s">
        <v>44</v>
      </c>
      <c r="D10" s="26" t="s">
        <v>107</v>
      </c>
      <c r="E10" s="185">
        <f>_xlfn.IFNA(VLOOKUP(TRIM(CONCATENATE(Tableau111[[#This Row],[PRENOM]],Tableau111[[#This Row],[NOM]])),'T1'!$C$5:$E$106,3,FALSE),90)</f>
        <v>61</v>
      </c>
      <c r="F10" s="198">
        <f>_xlfn.IFNA(VLOOKUP(TRIM(CONCATENATE(Tableau111[[#This Row],[PRENOM]],Tableau111[[#This Row],[NOM]])),'T2'!$C$5:$E$94,3,FALSE),90)</f>
        <v>59</v>
      </c>
      <c r="G10" s="203">
        <f>_xlfn.IFNA(VLOOKUP(TRIM(CONCATENATE(Tableau111[[#This Row],[PRENOM]],Tableau111[[#This Row],[NOM]])),'T3'!$C$6:$E$115,3,FALSE),90)</f>
        <v>57</v>
      </c>
      <c r="H10" s="208">
        <f>_xlfn.IFNA(VLOOKUP(TRIM(CONCATENATE(Tableau111[[#This Row],[PRENOM]],Tableau111[[#This Row],[NOM]])),'T4'!$C$5:$E$100,3,FALSE),90)</f>
        <v>66</v>
      </c>
      <c r="I10" s="214">
        <f>_xlfn.IFNA(VLOOKUP(TRIM(CONCATENATE(Tableau111[[#This Row],[PRENOM]],Tableau111[[#This Row],[NOM]])),'T5'!$C$5:$E$115,3,FALSE),90)</f>
        <v>69</v>
      </c>
      <c r="J10" s="222">
        <f>_xlfn.IFNA(VLOOKUP(TRIM(CONCATENATE(Tableau111[[#This Row],[PRENOM]],Tableau111[[#This Row],[NOM]])),'T6'!$C$5:$E$126,3,FALSE),90)</f>
        <v>71</v>
      </c>
      <c r="K10" s="185">
        <f>_xlfn.IFNA(VLOOKUP(TRIM(CONCATENATE(Tableau111[[#This Row],[PRENOM]],Tableau111[[#This Row],[NOM]])),'T7'!$C$5:$E$113,3,FALSE),90)</f>
        <v>63</v>
      </c>
      <c r="L10" s="35">
        <f t="shared" si="0"/>
        <v>446</v>
      </c>
      <c r="M10" s="37">
        <f t="shared" si="1"/>
        <v>71</v>
      </c>
      <c r="N10" s="38">
        <f t="shared" si="2"/>
        <v>69</v>
      </c>
      <c r="O10" s="33">
        <f t="shared" si="3"/>
        <v>306</v>
      </c>
      <c r="P10" s="33">
        <f>RANK(Tableau111[[#This Row],[SCORE
Final 
2025]],Tableau111[SCORE
Final 
2025],1)</f>
        <v>5</v>
      </c>
    </row>
    <row r="11" spans="1:16" ht="19.95" customHeight="1">
      <c r="B11" s="15" t="s">
        <v>18</v>
      </c>
      <c r="C11" s="249" t="s">
        <v>19</v>
      </c>
      <c r="D11" s="26" t="s">
        <v>107</v>
      </c>
      <c r="E11" s="186">
        <v>63</v>
      </c>
      <c r="F11" s="199">
        <v>64</v>
      </c>
      <c r="G11" s="204">
        <f>_xlfn.IFNA(VLOOKUP(TRIM(CONCATENATE(Tableau111[[#This Row],[PRENOM]],Tableau111[[#This Row],[NOM]])),'T3'!$C$6:$E$115,3,FALSE),90)</f>
        <v>60</v>
      </c>
      <c r="H11" s="208">
        <f>_xlfn.IFNA(VLOOKUP(TRIM(CONCATENATE(Tableau111[[#This Row],[PRENOM]],Tableau111[[#This Row],[NOM]])),'T4'!$C$5:$E$100,3,FALSE),90)</f>
        <v>67</v>
      </c>
      <c r="I11" s="214">
        <v>61</v>
      </c>
      <c r="J11" s="222">
        <v>70</v>
      </c>
      <c r="K11" s="185">
        <f>_xlfn.IFNA(VLOOKUP(TRIM(CONCATENATE(Tableau111[[#This Row],[PRENOM]],Tableau111[[#This Row],[NOM]])),'T7'!$C$5:$E$113,3,FALSE),90)</f>
        <v>59</v>
      </c>
      <c r="L11" s="72">
        <f t="shared" si="0"/>
        <v>444</v>
      </c>
      <c r="M11" s="70">
        <f t="shared" si="1"/>
        <v>70</v>
      </c>
      <c r="N11" s="71">
        <f t="shared" si="2"/>
        <v>67</v>
      </c>
      <c r="O11" s="33">
        <f t="shared" si="3"/>
        <v>307</v>
      </c>
      <c r="P11" s="33">
        <f>RANK(Tableau111[[#This Row],[SCORE
Final 
2025]],Tableau111[SCORE
Final 
2025],1)</f>
        <v>7</v>
      </c>
    </row>
    <row r="12" spans="1:16" ht="19.95" customHeight="1">
      <c r="B12" s="15" t="s">
        <v>190</v>
      </c>
      <c r="C12" s="182" t="s">
        <v>105</v>
      </c>
      <c r="D12" s="29" t="s">
        <v>17</v>
      </c>
      <c r="E12" s="186">
        <f>_xlfn.IFNA(VLOOKUP(TRIM(CONCATENATE(Tableau111[[#This Row],[PRENOM]],Tableau111[[#This Row],[NOM]])),'T1'!$C$5:$E$106,3,FALSE),90)</f>
        <v>59</v>
      </c>
      <c r="F12" s="199">
        <f>_xlfn.IFNA(VLOOKUP(TRIM(CONCATENATE(Tableau111[[#This Row],[PRENOM]],Tableau111[[#This Row],[NOM]])),'T2'!$C$5:$E$94,3,FALSE),90)</f>
        <v>64</v>
      </c>
      <c r="G12" s="204">
        <f>_xlfn.IFNA(VLOOKUP(TRIM(CONCATENATE(Tableau111[[#This Row],[PRENOM]],Tableau111[[#This Row],[NOM]])),'T3'!$C$6:$E$115,3,FALSE),90)</f>
        <v>63</v>
      </c>
      <c r="H12" s="34">
        <f>_xlfn.IFNA(VLOOKUP(TRIM(CONCATENATE(Tableau111[[#This Row],[PRENOM]],Tableau111[[#This Row],[NOM]])),'T4'!$C$5:$E$100,3,FALSE),90)</f>
        <v>90</v>
      </c>
      <c r="I12" s="214">
        <f>_xlfn.IFNA(VLOOKUP(TRIM(CONCATENATE(Tableau111[[#This Row],[PRENOM]],Tableau111[[#This Row],[NOM]])),'T5'!$C$5:$E$115,3,FALSE),90)</f>
        <v>71</v>
      </c>
      <c r="J12" s="222">
        <f>_xlfn.IFNA(VLOOKUP(TRIM(CONCATENATE(Tableau111[[#This Row],[PRENOM]],Tableau111[[#This Row],[NOM]])),'T6'!$C$5:$E$126,3,FALSE),90)</f>
        <v>63</v>
      </c>
      <c r="K12" s="185">
        <f>_xlfn.IFNA(VLOOKUP(TRIM(CONCATENATE(Tableau111[[#This Row],[PRENOM]],Tableau111[[#This Row],[NOM]])),'T7'!$C$5:$E$113,3,FALSE),90)</f>
        <v>61</v>
      </c>
      <c r="L12" s="183">
        <f t="shared" si="0"/>
        <v>471</v>
      </c>
      <c r="M12" s="179">
        <f t="shared" si="1"/>
        <v>90</v>
      </c>
      <c r="N12" s="180">
        <f t="shared" si="2"/>
        <v>71</v>
      </c>
      <c r="O12" s="181">
        <f t="shared" si="3"/>
        <v>310</v>
      </c>
      <c r="P12" s="181">
        <f>RANK(Tableau111[[#This Row],[SCORE
Final 
2025]],Tableau111[SCORE
Final 
2025],1)</f>
        <v>8</v>
      </c>
    </row>
    <row r="13" spans="1:16" ht="19.95" customHeight="1">
      <c r="B13" s="7" t="s">
        <v>6</v>
      </c>
      <c r="C13" s="7" t="s">
        <v>7</v>
      </c>
      <c r="D13" s="26" t="s">
        <v>107</v>
      </c>
      <c r="E13" s="185">
        <f>_xlfn.IFNA(VLOOKUP(TRIM(CONCATENATE(Tableau111[[#This Row],[PRENOM]],Tableau111[[#This Row],[NOM]])),'T1'!$C$5:$E$106,3,FALSE),90)</f>
        <v>64</v>
      </c>
      <c r="F13" s="198">
        <f>_xlfn.IFNA(VLOOKUP(TRIM(CONCATENATE(Tableau111[[#This Row],[PRENOM]],Tableau111[[#This Row],[NOM]])),'T2'!$C$5:$E$94,3,FALSE),90)</f>
        <v>64</v>
      </c>
      <c r="G13" s="203">
        <f>_xlfn.IFNA(VLOOKUP(TRIM(CONCATENATE(Tableau111[[#This Row],[PRENOM]],Tableau111[[#This Row],[NOM]])),'T3'!$C$6:$E$115,3,FALSE),90)</f>
        <v>56</v>
      </c>
      <c r="H13" s="208">
        <f>_xlfn.IFNA(VLOOKUP(TRIM(CONCATENATE(Tableau111[[#This Row],[PRENOM]],Tableau111[[#This Row],[NOM]])),'T4'!$C$5:$E$100,3,FALSE),90)</f>
        <v>66</v>
      </c>
      <c r="I13" s="214">
        <f>_xlfn.IFNA(VLOOKUP(TRIM(CONCATENATE(Tableau111[[#This Row],[PRENOM]],Tableau111[[#This Row],[NOM]])),'T5'!$C$5:$E$115,3,FALSE),90)</f>
        <v>65</v>
      </c>
      <c r="J13" s="34">
        <f>_xlfn.IFNA(VLOOKUP(TRIM(CONCATENATE(Tableau111[[#This Row],[PRENOM]],Tableau111[[#This Row],[NOM]])),'T6'!$C$5:$E$126,3,FALSE),90)</f>
        <v>90</v>
      </c>
      <c r="K13" s="185">
        <f>_xlfn.IFNA(VLOOKUP(TRIM(CONCATENATE(Tableau111[[#This Row],[PRENOM]],Tableau111[[#This Row],[NOM]])),'T7'!$C$5:$E$113,3,FALSE),90)</f>
        <v>65</v>
      </c>
      <c r="L13" s="35">
        <f t="shared" si="0"/>
        <v>470</v>
      </c>
      <c r="M13" s="37">
        <f t="shared" si="1"/>
        <v>90</v>
      </c>
      <c r="N13" s="38">
        <f t="shared" si="2"/>
        <v>66</v>
      </c>
      <c r="O13" s="33">
        <f t="shared" si="3"/>
        <v>314</v>
      </c>
      <c r="P13" s="33">
        <f>RANK(Tableau111[[#This Row],[SCORE
Final 
2025]],Tableau111[SCORE
Final 
2025],1)</f>
        <v>9</v>
      </c>
    </row>
    <row r="14" spans="1:16" ht="19.95" customHeight="1">
      <c r="B14" s="15" t="s">
        <v>43</v>
      </c>
      <c r="C14" s="15" t="s">
        <v>37</v>
      </c>
      <c r="D14" s="31" t="s">
        <v>11</v>
      </c>
      <c r="E14" s="186">
        <f>_xlfn.IFNA(VLOOKUP(TRIM(CONCATENATE(Tableau111[[#This Row],[PRENOM]],Tableau111[[#This Row],[NOM]])),'T1'!$C$5:$E$106,3,FALSE),90)</f>
        <v>62</v>
      </c>
      <c r="F14" s="199">
        <f>_xlfn.IFNA(VLOOKUP(TRIM(CONCATENATE(Tableau111[[#This Row],[PRENOM]],Tableau111[[#This Row],[NOM]])),'T2'!$C$5:$E$94,3,FALSE),90)</f>
        <v>64</v>
      </c>
      <c r="G14" s="204">
        <f>_xlfn.IFNA(VLOOKUP(TRIM(CONCATENATE(Tableau111[[#This Row],[PRENOM]],Tableau111[[#This Row],[NOM]])),'T3'!$C$6:$E$115,3,FALSE),90)</f>
        <v>62</v>
      </c>
      <c r="H14" s="209">
        <f>_xlfn.IFNA(VLOOKUP(TRIM(CONCATENATE(Tableau111[[#This Row],[PRENOM]],Tableau111[[#This Row],[NOM]])),'T4'!$C$5:$E$100,3,FALSE),90)</f>
        <v>63</v>
      </c>
      <c r="I14" s="240">
        <f>_xlfn.IFNA(VLOOKUP(TRIM(CONCATENATE(Tableau111[[#This Row],[PRENOM]],Tableau111[[#This Row],[NOM]])),'T5'!$C$5:$E$115,3,FALSE),90)</f>
        <v>65</v>
      </c>
      <c r="J14" s="68">
        <f>_xlfn.IFNA(VLOOKUP(TRIM(CONCATENATE(Tableau111[[#This Row],[PRENOM]],Tableau111[[#This Row],[NOM]])),'T6'!$C$5:$E$126,3,FALSE),90)</f>
        <v>90</v>
      </c>
      <c r="K14" s="186">
        <f>_xlfn.IFNA(VLOOKUP(TRIM(CONCATENATE(Tableau111[[#This Row],[PRENOM]],Tableau111[[#This Row],[NOM]])),'T7'!$C$5:$E$113,3,FALSE),90)</f>
        <v>64</v>
      </c>
      <c r="L14" s="72">
        <f t="shared" si="0"/>
        <v>470</v>
      </c>
      <c r="M14" s="70">
        <f t="shared" si="1"/>
        <v>90</v>
      </c>
      <c r="N14" s="71">
        <f t="shared" si="2"/>
        <v>65</v>
      </c>
      <c r="O14" s="33">
        <f t="shared" si="3"/>
        <v>315</v>
      </c>
      <c r="P14" s="33">
        <f>RANK(Tableau111[[#This Row],[SCORE
Final 
2025]],Tableau111[SCORE
Final 
2025],1)</f>
        <v>10</v>
      </c>
    </row>
    <row r="15" spans="1:16" ht="19.95" customHeight="1">
      <c r="B15" s="15" t="s">
        <v>26</v>
      </c>
      <c r="C15" s="15" t="s">
        <v>27</v>
      </c>
      <c r="D15" s="29" t="s">
        <v>17</v>
      </c>
      <c r="E15" s="68">
        <f>_xlfn.IFNA(VLOOKUP(TRIM(CONCATENATE(Tableau111[[#This Row],[PRENOM]],Tableau111[[#This Row],[NOM]])),'T1'!$C$5:$E$106,3,FALSE),90)</f>
        <v>90</v>
      </c>
      <c r="F15" s="199">
        <f>_xlfn.IFNA(VLOOKUP(TRIM(CONCATENATE(Tableau111[[#This Row],[PRENOM]],Tableau111[[#This Row],[NOM]])),'T2'!$C$5:$E$94,3,FALSE),90)</f>
        <v>65</v>
      </c>
      <c r="G15" s="204">
        <f>_xlfn.IFNA(VLOOKUP(TRIM(CONCATENATE(Tableau111[[#This Row],[PRENOM]],Tableau111[[#This Row],[NOM]])),'T3'!$C$6:$E$115,3,FALSE),90)</f>
        <v>68</v>
      </c>
      <c r="H15" s="68">
        <f>_xlfn.IFNA(VLOOKUP(TRIM(CONCATENATE(Tableau111[[#This Row],[PRENOM]],Tableau111[[#This Row],[NOM]])),'T4'!$C$5:$E$100,3,FALSE),90)</f>
        <v>90</v>
      </c>
      <c r="I15" s="240">
        <f>_xlfn.IFNA(VLOOKUP(TRIM(CONCATENATE(Tableau111[[#This Row],[PRENOM]],Tableau111[[#This Row],[NOM]])),'T5'!$C$5:$E$115,3,FALSE),90)</f>
        <v>66</v>
      </c>
      <c r="J15" s="224">
        <f>_xlfn.IFNA(VLOOKUP(TRIM(CONCATENATE(Tableau111[[#This Row],[PRENOM]],Tableau111[[#This Row],[NOM]])),'T6'!$C$5:$E$126,3,FALSE),90)</f>
        <v>66</v>
      </c>
      <c r="K15" s="186">
        <f>_xlfn.IFNA(VLOOKUP(TRIM(CONCATENATE(Tableau111[[#This Row],[PRENOM]],Tableau111[[#This Row],[NOM]])),'T7'!$C$5:$E$113,3,FALSE),90)</f>
        <v>61</v>
      </c>
      <c r="L15" s="72">
        <f t="shared" si="0"/>
        <v>506</v>
      </c>
      <c r="M15" s="70">
        <f t="shared" si="1"/>
        <v>90</v>
      </c>
      <c r="N15" s="71">
        <f t="shared" si="2"/>
        <v>90</v>
      </c>
      <c r="O15" s="33">
        <f t="shared" si="3"/>
        <v>326</v>
      </c>
      <c r="P15" s="33">
        <f>RANK(Tableau111[[#This Row],[SCORE
Final 
2025]],Tableau111[SCORE
Final 
2025],1)</f>
        <v>11</v>
      </c>
    </row>
    <row r="16" spans="1:16" ht="19.95" customHeight="1">
      <c r="B16" s="159" t="s">
        <v>114</v>
      </c>
      <c r="C16" s="159" t="s">
        <v>7</v>
      </c>
      <c r="D16" s="29" t="s">
        <v>17</v>
      </c>
      <c r="E16" s="185">
        <f>_xlfn.IFNA(VLOOKUP(TRIM(CONCATENATE(Tableau111[[#This Row],[PRENOM]],Tableau111[[#This Row],[NOM]])),'T1'!$C$5:$E$106,3,FALSE),90)</f>
        <v>57</v>
      </c>
      <c r="F16" s="198">
        <f>_xlfn.IFNA(VLOOKUP(TRIM(CONCATENATE(Tableau111[[#This Row],[PRENOM]],Tableau111[[#This Row],[NOM]])),'T2'!$C$5:$E$94,3,FALSE),90)</f>
        <v>64</v>
      </c>
      <c r="G16" s="203">
        <f>_xlfn.IFNA(VLOOKUP(TRIM(CONCATENATE(Tableau111[[#This Row],[PRENOM]],Tableau111[[#This Row],[NOM]])),'T3'!$C$6:$E$115,3,FALSE),90)</f>
        <v>57</v>
      </c>
      <c r="H16" s="34">
        <f>_xlfn.IFNA(VLOOKUP(TRIM(CONCATENATE(Tableau111[[#This Row],[PRENOM]],Tableau111[[#This Row],[NOM]])),'T4'!$C$5:$E$100,3,FALSE),90)</f>
        <v>90</v>
      </c>
      <c r="I16" s="214">
        <f>_xlfn.IFNA(VLOOKUP(TRIM(CONCATENATE(Tableau111[[#This Row],[PRENOM]],Tableau111[[#This Row],[NOM]])),'T5'!$C$5:$E$115,3,FALSE),90)</f>
        <v>64</v>
      </c>
      <c r="J16" s="34">
        <f>_xlfn.IFNA(VLOOKUP(TRIM(CONCATENATE(Tableau111[[#This Row],[PRENOM]],Tableau111[[#This Row],[NOM]])),'T6'!$C$5:$E$126,3,FALSE),90)</f>
        <v>90</v>
      </c>
      <c r="K16" s="34">
        <f>_xlfn.IFNA(VLOOKUP(TRIM(CONCATENATE(Tableau111[[#This Row],[PRENOM]],Tableau111[[#This Row],[NOM]])),'T7'!$C$5:$E$113,3,FALSE),90)</f>
        <v>90</v>
      </c>
      <c r="L16" s="35">
        <f t="shared" si="0"/>
        <v>512</v>
      </c>
      <c r="M16" s="37">
        <f t="shared" si="1"/>
        <v>90</v>
      </c>
      <c r="N16" s="38">
        <f t="shared" si="2"/>
        <v>90</v>
      </c>
      <c r="O16" s="33">
        <f t="shared" si="3"/>
        <v>332</v>
      </c>
      <c r="P16" s="33">
        <f>RANK(Tableau111[[#This Row],[SCORE
Final 
2025]],Tableau111[SCORE
Final 
2025],1)</f>
        <v>12</v>
      </c>
    </row>
    <row r="17" spans="2:16" ht="19.95" customHeight="1">
      <c r="B17" s="7" t="s">
        <v>59</v>
      </c>
      <c r="C17" s="7" t="s">
        <v>60</v>
      </c>
      <c r="D17" s="29" t="s">
        <v>17</v>
      </c>
      <c r="E17" s="185">
        <f>_xlfn.IFNA(VLOOKUP(TRIM(CONCATENATE(Tableau111[[#This Row],[PRENOM]],Tableau111[[#This Row],[NOM]])),'T1'!$C$5:$E$106,3,FALSE),90)</f>
        <v>68</v>
      </c>
      <c r="F17" s="198">
        <f>_xlfn.IFNA(VLOOKUP(TRIM(CONCATENATE(Tableau111[[#This Row],[PRENOM]],Tableau111[[#This Row],[NOM]])),'T2'!$C$5:$E$94,3,FALSE),90)</f>
        <v>68</v>
      </c>
      <c r="G17" s="203">
        <f>_xlfn.IFNA(VLOOKUP(TRIM(CONCATENATE(Tableau111[[#This Row],[PRENOM]],Tableau111[[#This Row],[NOM]])),'T3'!$C$6:$E$115,3,FALSE),90)</f>
        <v>64</v>
      </c>
      <c r="H17" s="34">
        <f>_xlfn.IFNA(VLOOKUP(TRIM(CONCATENATE(Tableau111[[#This Row],[PRENOM]],Tableau111[[#This Row],[NOM]])),'T4'!$C$5:$E$100,3,FALSE),90)</f>
        <v>90</v>
      </c>
      <c r="I17" s="34">
        <f>_xlfn.IFNA(VLOOKUP(TRIM(CONCATENATE(Tableau111[[#This Row],[PRENOM]],Tableau111[[#This Row],[NOM]])),'T5'!$C$5:$E$115,3,FALSE),90)</f>
        <v>90</v>
      </c>
      <c r="J17" s="222">
        <f>_xlfn.IFNA(VLOOKUP(TRIM(CONCATENATE(Tableau111[[#This Row],[PRENOM]],Tableau111[[#This Row],[NOM]])),'T6'!$C$5:$E$126,3,FALSE),90)</f>
        <v>68</v>
      </c>
      <c r="K17" s="185">
        <f>_xlfn.IFNA(VLOOKUP(TRIM(CONCATENATE(Tableau111[[#This Row],[PRENOM]],Tableau111[[#This Row],[NOM]])),'T7'!$C$5:$E$113,3,FALSE),90)</f>
        <v>66</v>
      </c>
      <c r="L17" s="35">
        <f t="shared" si="0"/>
        <v>514</v>
      </c>
      <c r="M17" s="37">
        <f t="shared" si="1"/>
        <v>90</v>
      </c>
      <c r="N17" s="38">
        <f t="shared" si="2"/>
        <v>90</v>
      </c>
      <c r="O17" s="33">
        <f t="shared" si="3"/>
        <v>334</v>
      </c>
      <c r="P17" s="33">
        <f>RANK(Tableau111[[#This Row],[SCORE
Final 
2025]],Tableau111[SCORE
Final 
2025],1)</f>
        <v>13</v>
      </c>
    </row>
    <row r="18" spans="2:16" ht="19.95" customHeight="1">
      <c r="B18" s="7" t="s">
        <v>113</v>
      </c>
      <c r="C18" s="7" t="s">
        <v>37</v>
      </c>
      <c r="D18" s="31" t="s">
        <v>11</v>
      </c>
      <c r="E18" s="185">
        <f>_xlfn.IFNA(VLOOKUP(TRIM(CONCATENATE(Tableau111[[#This Row],[PRENOM]],Tableau111[[#This Row],[NOM]])),'T1'!$C$5:$E$106,3,FALSE),90)</f>
        <v>66</v>
      </c>
      <c r="F18" s="198">
        <f>_xlfn.IFNA(VLOOKUP(TRIM(CONCATENATE(Tableau111[[#This Row],[PRENOM]],Tableau111[[#This Row],[NOM]])),'T2'!$C$5:$E$94,3,FALSE),90)</f>
        <v>66</v>
      </c>
      <c r="G18" s="203">
        <f>_xlfn.IFNA(VLOOKUP(TRIM(CONCATENATE(Tableau111[[#This Row],[PRENOM]],Tableau111[[#This Row],[NOM]])),'T3'!$C$6:$E$115,3,FALSE),90)</f>
        <v>73</v>
      </c>
      <c r="H18" s="34">
        <f>_xlfn.IFNA(VLOOKUP(TRIM(CONCATENATE(Tableau111[[#This Row],[PRENOM]],Tableau111[[#This Row],[NOM]])),'T4'!$C$5:$E$100,3,FALSE),90)</f>
        <v>90</v>
      </c>
      <c r="I18" s="214">
        <f>_xlfn.IFNA(VLOOKUP(TRIM(CONCATENATE(Tableau111[[#This Row],[PRENOM]],Tableau111[[#This Row],[NOM]])),'T5'!$C$5:$E$115,3,FALSE),90)</f>
        <v>66</v>
      </c>
      <c r="J18" s="34">
        <f>_xlfn.IFNA(VLOOKUP(TRIM(CONCATENATE(Tableau111[[#This Row],[PRENOM]],Tableau111[[#This Row],[NOM]])),'T6'!$C$5:$E$126,3,FALSE),90)</f>
        <v>90</v>
      </c>
      <c r="K18" s="185">
        <f>_xlfn.IFNA(VLOOKUP(TRIM(CONCATENATE(Tableau111[[#This Row],[PRENOM]],Tableau111[[#This Row],[NOM]])),'T7'!$C$5:$E$113,3,FALSE),90)</f>
        <v>66</v>
      </c>
      <c r="L18" s="35">
        <f t="shared" si="0"/>
        <v>517</v>
      </c>
      <c r="M18" s="37">
        <f t="shared" si="1"/>
        <v>90</v>
      </c>
      <c r="N18" s="38">
        <f t="shared" si="2"/>
        <v>90</v>
      </c>
      <c r="O18" s="33">
        <f t="shared" si="3"/>
        <v>337</v>
      </c>
      <c r="P18" s="33">
        <f>RANK(Tableau111[[#This Row],[SCORE
Final 
2025]],Tableau111[SCORE
Final 
2025],1)</f>
        <v>14</v>
      </c>
    </row>
    <row r="19" spans="2:16" ht="19.95" customHeight="1">
      <c r="B19" s="160" t="s">
        <v>34</v>
      </c>
      <c r="C19" s="249" t="s">
        <v>22</v>
      </c>
      <c r="D19" s="32" t="s">
        <v>63</v>
      </c>
      <c r="E19" s="68">
        <f>_xlfn.IFNA(VLOOKUP(TRIM(CONCATENATE(Tableau111[[#This Row],[PRENOM]],Tableau111[[#This Row],[NOM]])),'T1'!$C$5:$E$106,3,FALSE),90)</f>
        <v>90</v>
      </c>
      <c r="F19" s="199">
        <f>_xlfn.IFNA(VLOOKUP(TRIM(CONCATENATE(Tableau111[[#This Row],[PRENOM]],Tableau111[[#This Row],[NOM]])),'T2'!$C$5:$E$94,3,FALSE),90)</f>
        <v>66</v>
      </c>
      <c r="G19" s="204">
        <f>_xlfn.IFNA(VLOOKUP(TRIM(CONCATENATE(Tableau111[[#This Row],[PRENOM]],Tableau111[[#This Row],[NOM]])),'T3'!$C$6:$E$115,3,FALSE),90)</f>
        <v>53</v>
      </c>
      <c r="H19" s="209">
        <f>_xlfn.IFNA(VLOOKUP(TRIM(CONCATENATE(Tableau111[[#This Row],[PRENOM]],Tableau111[[#This Row],[NOM]])),'T4'!$C$5:$E$100,3,FALSE),90)</f>
        <v>65</v>
      </c>
      <c r="I19" s="68">
        <f>_xlfn.IFNA(VLOOKUP(TRIM(CONCATENATE(Tableau111[[#This Row],[PRENOM]],Tableau111[[#This Row],[NOM]])),'T5'!$C$5:$E$115,3,FALSE),90)</f>
        <v>90</v>
      </c>
      <c r="J19" s="224">
        <f>_xlfn.IFNA(VLOOKUP(TRIM(CONCATENATE(Tableau111[[#This Row],[PRENOM]],Tableau111[[#This Row],[NOM]])),'T6'!$C$5:$E$126,3,FALSE),90)</f>
        <v>66</v>
      </c>
      <c r="K19" s="68">
        <f>_xlfn.IFNA(VLOOKUP(TRIM(CONCATENATE(Tableau111[[#This Row],[PRENOM]],Tableau111[[#This Row],[NOM]])),'T7'!$C$5:$E$113,3,FALSE),90)</f>
        <v>90</v>
      </c>
      <c r="L19" s="72">
        <f t="shared" si="0"/>
        <v>520</v>
      </c>
      <c r="M19" s="70">
        <f t="shared" si="1"/>
        <v>90</v>
      </c>
      <c r="N19" s="71">
        <f t="shared" si="2"/>
        <v>90</v>
      </c>
      <c r="O19" s="33">
        <f t="shared" si="3"/>
        <v>340</v>
      </c>
      <c r="P19" s="33">
        <f>RANK(Tableau111[[#This Row],[SCORE
Final 
2025]],Tableau111[SCORE
Final 
2025],1)</f>
        <v>15</v>
      </c>
    </row>
    <row r="20" spans="2:16" ht="19.95" customHeight="1">
      <c r="B20" s="15" t="s">
        <v>15</v>
      </c>
      <c r="C20" s="15" t="s">
        <v>16</v>
      </c>
      <c r="D20" s="26" t="s">
        <v>107</v>
      </c>
      <c r="E20" s="186">
        <f>_xlfn.IFNA(VLOOKUP(TRIM(CONCATENATE(Tableau111[[#This Row],[PRENOM]],Tableau111[[#This Row],[NOM]])),'T1'!$C$5:$E$106,3,FALSE),90)</f>
        <v>62</v>
      </c>
      <c r="F20" s="199">
        <f>_xlfn.IFNA(VLOOKUP(TRIM(CONCATENATE(Tableau111[[#This Row],[PRENOM]],Tableau111[[#This Row],[NOM]])),'T2'!$C$5:$E$94,3,FALSE),90)</f>
        <v>61</v>
      </c>
      <c r="G20" s="204">
        <f>_xlfn.IFNA(VLOOKUP(TRIM(CONCATENATE(Tableau111[[#This Row],[PRENOM]],Tableau111[[#This Row],[NOM]])),'T3'!$C$6:$E$115,3,FALSE),90)</f>
        <v>64</v>
      </c>
      <c r="H20" s="34">
        <f>_xlfn.IFNA(VLOOKUP(TRIM(CONCATENATE(Tableau111[[#This Row],[PRENOM]],Tableau111[[#This Row],[NOM]])),'T4'!$C$5:$E$100,3,FALSE),90)</f>
        <v>90</v>
      </c>
      <c r="I20" s="34">
        <f>_xlfn.IFNA(VLOOKUP(TRIM(CONCATENATE(Tableau111[[#This Row],[PRENOM]],Tableau111[[#This Row],[NOM]])),'T5'!$C$5:$E$115,3,FALSE),90)</f>
        <v>90</v>
      </c>
      <c r="J20" s="222">
        <f>_xlfn.IFNA(VLOOKUP(TRIM(CONCATENATE(Tableau111[[#This Row],[PRENOM]],Tableau111[[#This Row],[NOM]])),'T6'!$C$5:$E$126,3,FALSE),90)</f>
        <v>67</v>
      </c>
      <c r="K20" s="34">
        <f>_xlfn.IFNA(VLOOKUP(TRIM(CONCATENATE(Tableau111[[#This Row],[PRENOM]],Tableau111[[#This Row],[NOM]])),'T7'!$C$5:$E$113,3,FALSE),90)</f>
        <v>90</v>
      </c>
      <c r="L20" s="72">
        <f t="shared" si="0"/>
        <v>524</v>
      </c>
      <c r="M20" s="70">
        <f t="shared" si="1"/>
        <v>90</v>
      </c>
      <c r="N20" s="71">
        <f t="shared" si="2"/>
        <v>90</v>
      </c>
      <c r="O20" s="33">
        <f t="shared" si="3"/>
        <v>344</v>
      </c>
      <c r="P20" s="33">
        <f>RANK(Tableau111[[#This Row],[SCORE
Final 
2025]],Tableau111[SCORE
Final 
2025],1)</f>
        <v>16</v>
      </c>
    </row>
    <row r="21" spans="2:16" ht="19.95" customHeight="1">
      <c r="B21" s="15" t="s">
        <v>65</v>
      </c>
      <c r="C21" s="15" t="s">
        <v>27</v>
      </c>
      <c r="D21" s="29" t="s">
        <v>17</v>
      </c>
      <c r="E21" s="186">
        <f>_xlfn.IFNA(VLOOKUP(TRIM(CONCATENATE(Tableau111[[#This Row],[PRENOM]],Tableau111[[#This Row],[NOM]])),'T1'!$C$5:$E$106,3,FALSE),90)</f>
        <v>65</v>
      </c>
      <c r="F21" s="68">
        <f>_xlfn.IFNA(VLOOKUP(TRIM(CONCATENATE(Tableau111[[#This Row],[PRENOM]],Tableau111[[#This Row],[NOM]])),'T2'!$C$5:$E$94,3,FALSE),90)</f>
        <v>90</v>
      </c>
      <c r="G21" s="204">
        <f>_xlfn.IFNA(VLOOKUP(TRIM(CONCATENATE(Tableau111[[#This Row],[PRENOM]],Tableau111[[#This Row],[NOM]])),'T3'!$C$6:$E$115,3,FALSE),90)</f>
        <v>60</v>
      </c>
      <c r="H21" s="68">
        <f>_xlfn.IFNA(VLOOKUP(TRIM(CONCATENATE(Tableau111[[#This Row],[PRENOM]],Tableau111[[#This Row],[NOM]])),'T4'!$C$5:$E$100,3,FALSE),90)</f>
        <v>90</v>
      </c>
      <c r="I21" s="240">
        <f>_xlfn.IFNA(VLOOKUP(TRIM(CONCATENATE(Tableau111[[#This Row],[PRENOM]],Tableau111[[#This Row],[NOM]])),'T5'!$C$5:$E$115,3,FALSE),90)</f>
        <v>69</v>
      </c>
      <c r="J21" s="68">
        <f>_xlfn.IFNA(VLOOKUP(TRIM(CONCATENATE(Tableau111[[#This Row],[PRENOM]],Tableau111[[#This Row],[NOM]])),'T6'!$C$5:$E$126,3,FALSE),90)</f>
        <v>90</v>
      </c>
      <c r="K21" s="186">
        <f>_xlfn.IFNA(VLOOKUP(TRIM(CONCATENATE(Tableau111[[#This Row],[PRENOM]],Tableau111[[#This Row],[NOM]])),'T7'!$C$5:$E$113,3,FALSE),90)</f>
        <v>60</v>
      </c>
      <c r="L21" s="72">
        <f t="shared" si="0"/>
        <v>524</v>
      </c>
      <c r="M21" s="70">
        <f t="shared" si="1"/>
        <v>90</v>
      </c>
      <c r="N21" s="71">
        <f t="shared" si="2"/>
        <v>90</v>
      </c>
      <c r="O21" s="33">
        <f t="shared" si="3"/>
        <v>344</v>
      </c>
      <c r="P21" s="33">
        <f>RANK(Tableau111[[#This Row],[SCORE
Final 
2025]],Tableau111[SCORE
Final 
2025],1)</f>
        <v>16</v>
      </c>
    </row>
    <row r="22" spans="2:16" ht="19.95" customHeight="1">
      <c r="B22" s="7" t="s">
        <v>20</v>
      </c>
      <c r="C22" s="15" t="s">
        <v>21</v>
      </c>
      <c r="D22" s="30" t="s">
        <v>8</v>
      </c>
      <c r="E22" s="186">
        <f>_xlfn.IFNA(VLOOKUP(TRIM(CONCATENATE(Tableau111[[#This Row],[PRENOM]],Tableau111[[#This Row],[NOM]])),'T1'!$C$5:$E$106,3,FALSE),90)</f>
        <v>64</v>
      </c>
      <c r="F22" s="198">
        <f>_xlfn.IFNA(VLOOKUP(TRIM(CONCATENATE(Tableau111[[#This Row],[PRENOM]],Tableau111[[#This Row],[NOM]])),'T2'!$C$5:$E$94,3,FALSE),90)</f>
        <v>68</v>
      </c>
      <c r="G22" s="204">
        <f>_xlfn.IFNA(VLOOKUP(TRIM(CONCATENATE(Tableau111[[#This Row],[PRENOM]],Tableau111[[#This Row],[NOM]])),'T3'!$C$6:$E$115,3,FALSE),90)</f>
        <v>74</v>
      </c>
      <c r="H22" s="208">
        <f>_xlfn.IFNA(VLOOKUP(TRIM(CONCATENATE(Tableau111[[#This Row],[PRENOM]],Tableau111[[#This Row],[NOM]])),'T4'!$C$5:$E$100,3,FALSE),90)</f>
        <v>72</v>
      </c>
      <c r="I22" s="214">
        <v>69</v>
      </c>
      <c r="J22" s="222">
        <f>_xlfn.IFNA(VLOOKUP(TRIM(CONCATENATE(Tableau111[[#This Row],[PRENOM]],Tableau111[[#This Row],[NOM]])),'T6'!$C$5:$E$126,3,FALSE),90)</f>
        <v>74</v>
      </c>
      <c r="K22" s="185">
        <f>_xlfn.IFNA(VLOOKUP(TRIM(CONCATENATE(Tableau111[[#This Row],[PRENOM]],Tableau111[[#This Row],[NOM]])),'T7'!$C$5:$E$113,3,FALSE),90)</f>
        <v>78</v>
      </c>
      <c r="L22" s="72">
        <f t="shared" si="0"/>
        <v>499</v>
      </c>
      <c r="M22" s="70">
        <f t="shared" si="1"/>
        <v>78</v>
      </c>
      <c r="N22" s="71">
        <f t="shared" si="2"/>
        <v>74</v>
      </c>
      <c r="O22" s="33">
        <f t="shared" si="3"/>
        <v>347</v>
      </c>
      <c r="P22" s="33">
        <f>RANK(Tableau111[[#This Row],[SCORE
Final 
2025]],Tableau111[SCORE
Final 
2025],1)</f>
        <v>18</v>
      </c>
    </row>
    <row r="23" spans="2:16" ht="19.95" customHeight="1">
      <c r="B23" s="7" t="s">
        <v>28</v>
      </c>
      <c r="C23" s="15" t="s">
        <v>23</v>
      </c>
      <c r="D23" s="29" t="s">
        <v>17</v>
      </c>
      <c r="E23" s="68">
        <f>_xlfn.IFNA(VLOOKUP(TRIM(CONCATENATE(Tableau111[[#This Row],[PRENOM]],Tableau111[[#This Row],[NOM]])),'T1'!$C$5:$E$106,3,FALSE),90)</f>
        <v>90</v>
      </c>
      <c r="F23" s="199">
        <f>_xlfn.IFNA(VLOOKUP(TRIM(CONCATENATE(Tableau111[[#This Row],[PRENOM]],Tableau111[[#This Row],[NOM]])),'T2'!$C$5:$E$94,3,FALSE),90)</f>
        <v>70</v>
      </c>
      <c r="G23" s="204">
        <f>_xlfn.IFNA(VLOOKUP(TRIM(CONCATENATE(Tableau111[[#This Row],[PRENOM]],Tableau111[[#This Row],[NOM]])),'T3'!$C$6:$E$115,3,FALSE),90)</f>
        <v>70</v>
      </c>
      <c r="H23" s="209">
        <f>_xlfn.IFNA(VLOOKUP(TRIM(CONCATENATE(Tableau111[[#This Row],[PRENOM]],Tableau111[[#This Row],[NOM]])),'T4'!$C$5:$E$100,3,FALSE),90)</f>
        <v>73</v>
      </c>
      <c r="I23" s="240">
        <f>_xlfn.IFNA(VLOOKUP(TRIM(CONCATENATE(Tableau111[[#This Row],[PRENOM]],Tableau111[[#This Row],[NOM]])),'T5'!$C$5:$E$115,3,FALSE),90)</f>
        <v>68</v>
      </c>
      <c r="J23" s="224">
        <f>_xlfn.IFNA(VLOOKUP(TRIM(CONCATENATE(Tableau111[[#This Row],[PRENOM]],Tableau111[[#This Row],[NOM]])),'T6'!$C$5:$E$126,3,FALSE),90)</f>
        <v>70</v>
      </c>
      <c r="K23" s="186">
        <f>_xlfn.IFNA(VLOOKUP(TRIM(CONCATENATE(Tableau111[[#This Row],[PRENOM]],Tableau111[[#This Row],[NOM]])),'T7'!$C$5:$E$113,3,FALSE),90)</f>
        <v>75</v>
      </c>
      <c r="L23" s="72">
        <f t="shared" si="0"/>
        <v>516</v>
      </c>
      <c r="M23" s="70">
        <f t="shared" si="1"/>
        <v>90</v>
      </c>
      <c r="N23" s="71">
        <f t="shared" si="2"/>
        <v>75</v>
      </c>
      <c r="O23" s="33">
        <f t="shared" si="3"/>
        <v>351</v>
      </c>
      <c r="P23" s="33">
        <f>RANK(Tableau111[[#This Row],[SCORE
Final 
2025]],Tableau111[SCORE
Final 
2025],1)</f>
        <v>19</v>
      </c>
    </row>
    <row r="24" spans="2:16" ht="21" customHeight="1">
      <c r="B24" s="7" t="s">
        <v>25</v>
      </c>
      <c r="C24" s="7" t="s">
        <v>12</v>
      </c>
      <c r="D24" s="32" t="s">
        <v>63</v>
      </c>
      <c r="E24" s="185">
        <f>_xlfn.IFNA(VLOOKUP(TRIM(CONCATENATE(Tableau111[[#This Row],[PRENOM]],Tableau111[[#This Row],[NOM]])),'T1'!$C$5:$E$106,3,FALSE),90)</f>
        <v>68</v>
      </c>
      <c r="F24" s="34">
        <f>_xlfn.IFNA(VLOOKUP(TRIM(CONCATENATE(Tableau111[[#This Row],[PRENOM]],Tableau111[[#This Row],[NOM]])),'T2'!$C$5:$E$94,3,FALSE),90)</f>
        <v>90</v>
      </c>
      <c r="G24" s="203">
        <f>_xlfn.IFNA(VLOOKUP(TRIM(CONCATENATE(Tableau111[[#This Row],[PRENOM]],Tableau111[[#This Row],[NOM]])),'T3'!$C$6:$E$115,3,FALSE),90)</f>
        <v>68</v>
      </c>
      <c r="H24" s="208">
        <f>_xlfn.IFNA(VLOOKUP(TRIM(CONCATENATE(Tableau111[[#This Row],[PRENOM]],Tableau111[[#This Row],[NOM]])),'T4'!$C$5:$E$100,3,FALSE),90)</f>
        <v>77</v>
      </c>
      <c r="I24" s="214">
        <f>_xlfn.IFNA(VLOOKUP(TRIM(CONCATENATE(Tableau111[[#This Row],[PRENOM]],Tableau111[[#This Row],[NOM]])),'T5'!$C$5:$E$115,3,FALSE),90)</f>
        <v>69</v>
      </c>
      <c r="J24" s="222">
        <f>_xlfn.IFNA(VLOOKUP(TRIM(CONCATENATE(Tableau111[[#This Row],[PRENOM]],Tableau111[[#This Row],[NOM]])),'T6'!$C$5:$E$126,3,FALSE),90)</f>
        <v>72</v>
      </c>
      <c r="K24" s="185">
        <f>_xlfn.IFNA(VLOOKUP(TRIM(CONCATENATE(Tableau111[[#This Row],[PRENOM]],Tableau111[[#This Row],[NOM]])),'T7'!$C$5:$E$113,3,FALSE),90)</f>
        <v>74</v>
      </c>
      <c r="L24" s="35">
        <f t="shared" si="0"/>
        <v>518</v>
      </c>
      <c r="M24" s="37">
        <f t="shared" si="1"/>
        <v>90</v>
      </c>
      <c r="N24" s="38">
        <f t="shared" si="2"/>
        <v>77</v>
      </c>
      <c r="O24" s="33">
        <f t="shared" si="3"/>
        <v>351</v>
      </c>
      <c r="P24" s="33">
        <f>RANK(Tableau111[[#This Row],[SCORE
Final 
2025]],Tableau111[SCORE
Final 
2025],1)</f>
        <v>19</v>
      </c>
    </row>
    <row r="25" spans="2:16" ht="21" customHeight="1">
      <c r="B25" s="7" t="s">
        <v>58</v>
      </c>
      <c r="C25" s="7" t="s">
        <v>40</v>
      </c>
      <c r="D25" s="29" t="s">
        <v>17</v>
      </c>
      <c r="E25" s="185">
        <f>_xlfn.IFNA(VLOOKUP(TRIM(CONCATENATE(Tableau111[[#This Row],[PRENOM]],Tableau111[[#This Row],[NOM]])),'T1'!$C$5:$E$106,3,FALSE),90)</f>
        <v>67</v>
      </c>
      <c r="F25" s="34">
        <f>_xlfn.IFNA(VLOOKUP(TRIM(CONCATENATE(Tableau111[[#This Row],[PRENOM]],Tableau111[[#This Row],[NOM]])),'T2'!$C$5:$E$94,3,FALSE),90)</f>
        <v>90</v>
      </c>
      <c r="G25" s="203">
        <f>_xlfn.IFNA(VLOOKUP(TRIM(CONCATENATE(Tableau111[[#This Row],[PRENOM]],Tableau111[[#This Row],[NOM]])),'T3'!$C$6:$E$115,3,FALSE),90)</f>
        <v>59</v>
      </c>
      <c r="H25" s="34">
        <f>_xlfn.IFNA(VLOOKUP(TRIM(CONCATENATE(Tableau111[[#This Row],[PRENOM]],Tableau111[[#This Row],[NOM]])),'T4'!$C$5:$E$100,3,FALSE),90)</f>
        <v>90</v>
      </c>
      <c r="I25" s="214">
        <f>_xlfn.IFNA(VLOOKUP(TRIM(CONCATENATE(Tableau111[[#This Row],[PRENOM]],Tableau111[[#This Row],[NOM]])),'T5'!$C$5:$E$115,3,FALSE),90)</f>
        <v>64</v>
      </c>
      <c r="J25" s="222">
        <f>_xlfn.IFNA(VLOOKUP(TRIM(CONCATENATE(Tableau111[[#This Row],[PRENOM]],Tableau111[[#This Row],[NOM]])),'T6'!$C$5:$E$126,3,FALSE),90)</f>
        <v>72</v>
      </c>
      <c r="K25" s="185">
        <f>_xlfn.IFNA(VLOOKUP(TRIM(CONCATENATE(Tableau111[[#This Row],[PRENOM]],Tableau111[[#This Row],[NOM]])),'T7'!$C$5:$E$113,3,FALSE),90)</f>
        <v>90</v>
      </c>
      <c r="L25" s="35">
        <f t="shared" si="0"/>
        <v>532</v>
      </c>
      <c r="M25" s="37">
        <f t="shared" si="1"/>
        <v>90</v>
      </c>
      <c r="N25" s="38">
        <f t="shared" si="2"/>
        <v>90</v>
      </c>
      <c r="O25" s="33">
        <f t="shared" si="3"/>
        <v>352</v>
      </c>
      <c r="P25" s="33">
        <f>RANK(Tableau111[[#This Row],[SCORE
Final 
2025]],Tableau111[SCORE
Final 
2025],1)</f>
        <v>21</v>
      </c>
    </row>
    <row r="26" spans="2:16" ht="21" customHeight="1">
      <c r="B26" s="249" t="s">
        <v>64</v>
      </c>
      <c r="C26" s="253" t="s">
        <v>161</v>
      </c>
      <c r="D26" s="29" t="s">
        <v>17</v>
      </c>
      <c r="E26" s="68">
        <f>_xlfn.IFNA(VLOOKUP(TRIM(CONCATENATE(Tableau111[[#This Row],[PRENOM]],Tableau111[[#This Row],[NOM]])),'T1'!$C$5:$E$106,3,FALSE),90)</f>
        <v>90</v>
      </c>
      <c r="F26" s="199">
        <f>_xlfn.IFNA(VLOOKUP(TRIM(CONCATENATE(Tableau111[[#This Row],[PRENOM]],Tableau111[[#This Row],[NOM]])),'T2'!$C$5:$E$94,3,FALSE),90)</f>
        <v>69</v>
      </c>
      <c r="G26" s="204">
        <f>_xlfn.IFNA(VLOOKUP(TRIM(CONCATENATE(Tableau111[[#This Row],[PRENOM]],Tableau111[[#This Row],[NOM]])),'T3'!$C$6:$E$115,3,FALSE),90)</f>
        <v>67</v>
      </c>
      <c r="H26" s="208">
        <f>_xlfn.IFNA(VLOOKUP(TRIM(CONCATENATE(Tableau111[[#This Row],[PRENOM]],Tableau111[[#This Row],[NOM]])),'T4'!$C$5:$E$100,3,FALSE),90)</f>
        <v>71</v>
      </c>
      <c r="I26" s="214">
        <f>_xlfn.IFNA(VLOOKUP(TRIM(CONCATENATE(Tableau111[[#This Row],[PRENOM]],Tableau111[[#This Row],[NOM]])),'T5'!$C$5:$E$115,3,FALSE),90)</f>
        <v>75</v>
      </c>
      <c r="J26" s="222">
        <f>_xlfn.IFNA(VLOOKUP(TRIM(CONCATENATE(Tableau111[[#This Row],[PRENOM]],Tableau111[[#This Row],[NOM]])),'T6'!$C$5:$E$126,3,FALSE),90)</f>
        <v>71</v>
      </c>
      <c r="K26" s="34">
        <f>_xlfn.IFNA(VLOOKUP(TRIM(CONCATENATE(Tableau111[[#This Row],[PRENOM]],Tableau111[[#This Row],[NOM]])),'T7'!$C$5:$E$113,3,FALSE),90)</f>
        <v>90</v>
      </c>
      <c r="L26" s="72">
        <f t="shared" si="0"/>
        <v>533</v>
      </c>
      <c r="M26" s="70">
        <f t="shared" si="1"/>
        <v>90</v>
      </c>
      <c r="N26" s="71">
        <f t="shared" si="2"/>
        <v>90</v>
      </c>
      <c r="O26" s="33">
        <f t="shared" si="3"/>
        <v>353</v>
      </c>
      <c r="P26" s="33">
        <f>RANK(Tableau111[[#This Row],[SCORE
Final 
2025]],Tableau111[SCORE
Final 
2025],1)</f>
        <v>22</v>
      </c>
    </row>
    <row r="27" spans="2:16" ht="19.8" customHeight="1">
      <c r="B27" s="7" t="s">
        <v>53</v>
      </c>
      <c r="C27" s="7" t="s">
        <v>205</v>
      </c>
      <c r="D27" s="30" t="s">
        <v>8</v>
      </c>
      <c r="E27" s="34">
        <f>_xlfn.IFNA(VLOOKUP(TRIM(CONCATENATE(Tableau111[[#This Row],[PRENOM]],Tableau111[[#This Row],[NOM]])),'T1'!$C$5:$E$106,3,FALSE),90)</f>
        <v>90</v>
      </c>
      <c r="F27" s="34">
        <f>_xlfn.IFNA(VLOOKUP(TRIM(CONCATENATE(Tableau111[[#This Row],[PRENOM]],Tableau111[[#This Row],[NOM]])),'T2'!$C$5:$E$94,3,FALSE),90)</f>
        <v>90</v>
      </c>
      <c r="G27" s="203">
        <f>_xlfn.IFNA(VLOOKUP(TRIM(CONCATENATE(Tableau111[[#This Row],[PRENOM]],Tableau111[[#This Row],[NOM]])),'T3'!$C$6:$E$115,3,FALSE),90)</f>
        <v>60</v>
      </c>
      <c r="H27" s="34">
        <f>_xlfn.IFNA(VLOOKUP(TRIM(CONCATENATE(Tableau111[[#This Row],[PRENOM]],Tableau111[[#This Row],[NOM]])),'T4'!$C$5:$E$100,3,FALSE),90)</f>
        <v>90</v>
      </c>
      <c r="I27" s="34">
        <f>_xlfn.IFNA(VLOOKUP(TRIM(CONCATENATE(Tableau111[[#This Row],[PRENOM]],Tableau111[[#This Row],[NOM]])),'T5'!$C$5:$E$115,3,FALSE),90)</f>
        <v>90</v>
      </c>
      <c r="J27" s="222">
        <f>_xlfn.IFNA(VLOOKUP(TRIM(CONCATENATE(Tableau111[[#This Row],[PRENOM]],Tableau111[[#This Row],[NOM]])),'T6'!$C$5:$E$126,3,FALSE),90)</f>
        <v>57</v>
      </c>
      <c r="K27" s="185">
        <f>_xlfn.IFNA(VLOOKUP(TRIM(CONCATENATE(Tableau111[[#This Row],[PRENOM]],Tableau111[[#This Row],[NOM]])),'T7'!$C$5:$E$113,3,FALSE),90)</f>
        <v>58</v>
      </c>
      <c r="L27" s="35">
        <f t="shared" si="0"/>
        <v>535</v>
      </c>
      <c r="M27" s="37">
        <f t="shared" si="1"/>
        <v>90</v>
      </c>
      <c r="N27" s="38">
        <f t="shared" si="2"/>
        <v>90</v>
      </c>
      <c r="O27" s="33">
        <f t="shared" si="3"/>
        <v>355</v>
      </c>
      <c r="P27" s="33">
        <f>RANK(Tableau111[[#This Row],[SCORE
Final 
2025]],Tableau111[SCORE
Final 
2025],1)</f>
        <v>23</v>
      </c>
    </row>
    <row r="28" spans="2:16" ht="19.8" customHeight="1">
      <c r="B28" s="249" t="s">
        <v>202</v>
      </c>
      <c r="C28" s="249" t="s">
        <v>203</v>
      </c>
      <c r="D28" s="32" t="s">
        <v>63</v>
      </c>
      <c r="E28" s="68">
        <f>_xlfn.IFNA(VLOOKUP(TRIM(CONCATENATE(Tableau111[[#This Row],[PRENOM]],Tableau111[[#This Row],[NOM]])),'T1'!$C$5:$E$106,3,FALSE),90)</f>
        <v>90</v>
      </c>
      <c r="F28" s="198">
        <f>_xlfn.IFNA(VLOOKUP(TRIM(CONCATENATE(Tableau111[[#This Row],[PRENOM]],Tableau111[[#This Row],[NOM]])),'T2'!$C$5:$E$94,3,FALSE),90)</f>
        <v>76</v>
      </c>
      <c r="G28" s="204">
        <f>_xlfn.IFNA(VLOOKUP(TRIM(CONCATENATE(Tableau111[[#This Row],[PRENOM]],Tableau111[[#This Row],[NOM]])),'T3'!$C$6:$E$115,3,FALSE),90)</f>
        <v>70</v>
      </c>
      <c r="H28" s="208">
        <f>_xlfn.IFNA(VLOOKUP(TRIM(CONCATENATE(Tableau111[[#This Row],[PRENOM]],Tableau111[[#This Row],[NOM]])),'T4'!$C$5:$E$100,3,FALSE),90)</f>
        <v>75</v>
      </c>
      <c r="I28" s="214">
        <f>_xlfn.IFNA(VLOOKUP(TRIM(CONCATENATE(Tableau111[[#This Row],[PRENOM]],Tableau111[[#This Row],[NOM]])),'T5'!$C$5:$E$115,3,FALSE),90)</f>
        <v>65</v>
      </c>
      <c r="J28" s="222">
        <f>_xlfn.IFNA(VLOOKUP(TRIM(CONCATENATE(Tableau111[[#This Row],[PRENOM]],Tableau111[[#This Row],[NOM]])),'T6'!$C$5:$E$126,3,FALSE),90)</f>
        <v>69</v>
      </c>
      <c r="K28" s="34">
        <f>_xlfn.IFNA(VLOOKUP(TRIM(CONCATENATE(Tableau111[[#This Row],[PRENOM]],Tableau111[[#This Row],[NOM]])),'T7'!$C$5:$E$113,3,FALSE),90)</f>
        <v>90</v>
      </c>
      <c r="L28" s="72">
        <f t="shared" si="0"/>
        <v>535</v>
      </c>
      <c r="M28" s="70">
        <f t="shared" si="1"/>
        <v>90</v>
      </c>
      <c r="N28" s="71">
        <f t="shared" si="2"/>
        <v>90</v>
      </c>
      <c r="O28" s="33">
        <f t="shared" si="3"/>
        <v>355</v>
      </c>
      <c r="P28" s="33">
        <f>RANK(Tableau111[[#This Row],[SCORE
Final 
2025]],Tableau111[SCORE
Final 
2025],1)</f>
        <v>23</v>
      </c>
    </row>
    <row r="29" spans="2:16" ht="19.95" customHeight="1">
      <c r="B29" s="7" t="s">
        <v>54</v>
      </c>
      <c r="C29" s="7" t="s">
        <v>12</v>
      </c>
      <c r="D29" s="26" t="s">
        <v>107</v>
      </c>
      <c r="E29" s="185">
        <f>_xlfn.IFNA(VLOOKUP(TRIM(CONCATENATE(Tableau111[[#This Row],[PRENOM]],Tableau111[[#This Row],[NOM]])),'T1'!$C$5:$E$106,3,FALSE),90)</f>
        <v>64</v>
      </c>
      <c r="F29" s="198">
        <f>_xlfn.IFNA(VLOOKUP(TRIM(CONCATENATE(Tableau111[[#This Row],[PRENOM]],Tableau111[[#This Row],[NOM]])),'T2'!$C$5:$E$94,3,FALSE),90)</f>
        <v>72</v>
      </c>
      <c r="G29" s="34">
        <f>_xlfn.IFNA(VLOOKUP(TRIM(CONCATENATE(Tableau111[[#This Row],[PRENOM]],Tableau111[[#This Row],[NOM]])),'T3'!$C$6:$E$115,3,FALSE),90)</f>
        <v>90</v>
      </c>
      <c r="H29" s="208">
        <f>_xlfn.IFNA(VLOOKUP(TRIM(CONCATENATE(Tableau111[[#This Row],[PRENOM]],Tableau111[[#This Row],[NOM]])),'T4'!$C$5:$E$100,3,FALSE),90)</f>
        <v>80</v>
      </c>
      <c r="I29" s="214">
        <f>_xlfn.IFNA(VLOOKUP(TRIM(CONCATENATE(Tableau111[[#This Row],[PRENOM]],Tableau111[[#This Row],[NOM]])),'T5'!$C$5:$E$115,3,FALSE),90)</f>
        <v>72</v>
      </c>
      <c r="J29" s="222">
        <f>_xlfn.IFNA(VLOOKUP(TRIM(CONCATENATE(Tableau111[[#This Row],[PRENOM]],Tableau111[[#This Row],[NOM]])),'T6'!$C$5:$E$126,3,FALSE),90)</f>
        <v>77</v>
      </c>
      <c r="K29" s="185">
        <f>_xlfn.IFNA(VLOOKUP(TRIM(CONCATENATE(Tableau111[[#This Row],[PRENOM]],Tableau111[[#This Row],[NOM]])),'T7'!$C$5:$E$113,3,FALSE),90)</f>
        <v>71</v>
      </c>
      <c r="L29" s="35">
        <f t="shared" si="0"/>
        <v>526</v>
      </c>
      <c r="M29" s="37">
        <f t="shared" si="1"/>
        <v>90</v>
      </c>
      <c r="N29" s="38">
        <f t="shared" si="2"/>
        <v>80</v>
      </c>
      <c r="O29" s="33">
        <f t="shared" si="3"/>
        <v>356</v>
      </c>
      <c r="P29" s="33">
        <f>RANK(Tableau111[[#This Row],[SCORE
Final 
2025]],Tableau111[SCORE
Final 
2025],1)</f>
        <v>25</v>
      </c>
    </row>
    <row r="30" spans="2:16" ht="19.95" customHeight="1">
      <c r="B30" s="7" t="s">
        <v>110</v>
      </c>
      <c r="C30" s="159" t="s">
        <v>33</v>
      </c>
      <c r="D30" s="30" t="s">
        <v>8</v>
      </c>
      <c r="E30" s="185">
        <f>_xlfn.IFNA(VLOOKUP(TRIM(CONCATENATE(Tableau111[[#This Row],[PRENOM]],Tableau111[[#This Row],[NOM]])),'T1'!$C$5:$E$106,3,FALSE),90)</f>
        <v>65</v>
      </c>
      <c r="F30" s="34">
        <f>_xlfn.IFNA(VLOOKUP(TRIM(CONCATENATE(Tableau111[[#This Row],[PRENOM]],Tableau111[[#This Row],[NOM]])),'T2'!$C$5:$E$94,3,FALSE),90)</f>
        <v>90</v>
      </c>
      <c r="G30" s="34">
        <f>_xlfn.IFNA(VLOOKUP(TRIM(CONCATENATE(Tableau111[[#This Row],[PRENOM]],Tableau111[[#This Row],[NOM]])),'T3'!$C$6:$E$115,3,FALSE),90)</f>
        <v>90</v>
      </c>
      <c r="H30" s="208">
        <f>_xlfn.IFNA(VLOOKUP(TRIM(CONCATENATE(Tableau111[[#This Row],[PRENOM]],Tableau111[[#This Row],[NOM]])),'T4'!$C$5:$E$100,3,FALSE),90)</f>
        <v>77</v>
      </c>
      <c r="I30" s="214">
        <f>_xlfn.IFNA(VLOOKUP(TRIM(CONCATENATE(Tableau111[[#This Row],[PRENOM]],Tableau111[[#This Row],[NOM]])),'T5'!$C$5:$E$115,3,FALSE),90)</f>
        <v>66</v>
      </c>
      <c r="J30" s="34">
        <f>_xlfn.IFNA(VLOOKUP(TRIM(CONCATENATE(Tableau111[[#This Row],[PRENOM]],Tableau111[[#This Row],[NOM]])),'T6'!$C$5:$E$126,3,FALSE),90)</f>
        <v>90</v>
      </c>
      <c r="K30" s="185">
        <f>_xlfn.IFNA(VLOOKUP(TRIM(CONCATENATE(Tableau111[[#This Row],[PRENOM]],Tableau111[[#This Row],[NOM]])),'T7'!$C$5:$E$113,3,FALSE),90)</f>
        <v>60</v>
      </c>
      <c r="L30" s="35">
        <f t="shared" si="0"/>
        <v>538</v>
      </c>
      <c r="M30" s="37">
        <f t="shared" si="1"/>
        <v>90</v>
      </c>
      <c r="N30" s="38">
        <f t="shared" si="2"/>
        <v>90</v>
      </c>
      <c r="O30" s="33">
        <f t="shared" si="3"/>
        <v>358</v>
      </c>
      <c r="P30" s="33">
        <f>RANK(Tableau111[[#This Row],[SCORE
Final 
2025]],Tableau111[SCORE
Final 
2025],1)</f>
        <v>26</v>
      </c>
    </row>
    <row r="31" spans="2:16" ht="19.95" customHeight="1">
      <c r="B31" s="15" t="s">
        <v>204</v>
      </c>
      <c r="C31" s="15" t="s">
        <v>40</v>
      </c>
      <c r="D31" s="29" t="s">
        <v>17</v>
      </c>
      <c r="E31" s="34">
        <f>_xlfn.IFNA(VLOOKUP(TRIM(CONCATENATE(Tableau111[[#This Row],[PRENOM]],Tableau111[[#This Row],[NOM]])),'T1'!$C$5:$E$106,3,FALSE),90)</f>
        <v>90</v>
      </c>
      <c r="F31" s="34">
        <f>_xlfn.IFNA(VLOOKUP(TRIM(CONCATENATE(Tableau111[[#This Row],[PRENOM]],Tableau111[[#This Row],[NOM]])),'T2'!$C$5:$E$94,3,FALSE),90)</f>
        <v>90</v>
      </c>
      <c r="G31" s="203">
        <f>_xlfn.IFNA(VLOOKUP(TRIM(CONCATENATE(Tableau111[[#This Row],[PRENOM]],Tableau111[[#This Row],[NOM]])),'T3'!$C$6:$E$115,3,FALSE),90)</f>
        <v>59</v>
      </c>
      <c r="H31" s="34">
        <f>_xlfn.IFNA(VLOOKUP(TRIM(CONCATENATE(Tableau111[[#This Row],[PRENOM]],Tableau111[[#This Row],[NOM]])),'T4'!$C$5:$E$100,3,FALSE),90)</f>
        <v>90</v>
      </c>
      <c r="I31" s="214">
        <f>_xlfn.IFNA(VLOOKUP(TRIM(CONCATENATE(Tableau111[[#This Row],[PRENOM]],Tableau111[[#This Row],[NOM]])),'T5'!$C$5:$E$115,3,FALSE),90)</f>
        <v>59</v>
      </c>
      <c r="J31" s="222">
        <f>_xlfn.IFNA(VLOOKUP(TRIM(CONCATENATE(Tableau111[[#This Row],[PRENOM]],Tableau111[[#This Row],[NOM]])),'T6'!$C$5:$E$126,3,FALSE),90)</f>
        <v>62</v>
      </c>
      <c r="K31" s="34">
        <f>_xlfn.IFNA(VLOOKUP(TRIM(CONCATENATE(Tableau111[[#This Row],[PRENOM]],Tableau111[[#This Row],[NOM]])),'T7'!$C$5:$E$113,3,FALSE),90)</f>
        <v>90</v>
      </c>
      <c r="L31" s="36">
        <f t="shared" si="0"/>
        <v>540</v>
      </c>
      <c r="M31" s="37">
        <f t="shared" si="1"/>
        <v>90</v>
      </c>
      <c r="N31" s="38">
        <f t="shared" si="2"/>
        <v>90</v>
      </c>
      <c r="O31" s="33">
        <f t="shared" si="3"/>
        <v>360</v>
      </c>
      <c r="P31" s="33">
        <f>RANK(Tableau111[[#This Row],[SCORE
Final 
2025]],Tableau111[SCORE
Final 
2025],1)</f>
        <v>27</v>
      </c>
    </row>
    <row r="32" spans="2:16" ht="19.95" customHeight="1">
      <c r="B32" s="250" t="s">
        <v>13</v>
      </c>
      <c r="C32" s="7" t="s">
        <v>14</v>
      </c>
      <c r="D32" s="30" t="s">
        <v>8</v>
      </c>
      <c r="E32" s="185">
        <f>_xlfn.IFNA(VLOOKUP(TRIM(CONCATENATE(Tableau111[[#This Row],[PRENOM]],Tableau111[[#This Row],[NOM]])),'T1'!$C$5:$E$106,3,FALSE),90)</f>
        <v>68</v>
      </c>
      <c r="F32" s="34">
        <f>_xlfn.IFNA(VLOOKUP(TRIM(CONCATENATE(Tableau111[[#This Row],[PRENOM]],Tableau111[[#This Row],[NOM]])),'T2'!$C$5:$E$94,3,FALSE),90)</f>
        <v>90</v>
      </c>
      <c r="G32" s="203">
        <f>_xlfn.IFNA(VLOOKUP(TRIM(CONCATENATE(Tableau111[[#This Row],[PRENOM]],Tableau111[[#This Row],[NOM]])),'T3'!$C$6:$E$115,3,FALSE),90)</f>
        <v>67</v>
      </c>
      <c r="H32" s="34">
        <f>_xlfn.IFNA(VLOOKUP(TRIM(CONCATENATE(Tableau111[[#This Row],[PRENOM]],Tableau111[[#This Row],[NOM]])),'T4'!$C$5:$E$100,3,FALSE),90)</f>
        <v>90</v>
      </c>
      <c r="I32" s="214">
        <v>90</v>
      </c>
      <c r="J32" s="222">
        <f>_xlfn.IFNA(VLOOKUP(TRIM(CONCATENATE(Tableau111[[#This Row],[PRENOM]],Tableau111[[#This Row],[NOM]])),'T6'!$C$5:$E$126,3,FALSE),90)</f>
        <v>72</v>
      </c>
      <c r="K32" s="185">
        <f>_xlfn.IFNA(VLOOKUP(TRIM(CONCATENATE(Tableau111[[#This Row],[PRENOM]],Tableau111[[#This Row],[NOM]])),'T7'!$C$5:$E$113,3,FALSE),90)</f>
        <v>63</v>
      </c>
      <c r="L32" s="35">
        <f t="shared" si="0"/>
        <v>540</v>
      </c>
      <c r="M32" s="37">
        <f t="shared" si="1"/>
        <v>90</v>
      </c>
      <c r="N32" s="38">
        <f t="shared" si="2"/>
        <v>90</v>
      </c>
      <c r="O32" s="33">
        <f t="shared" si="3"/>
        <v>360</v>
      </c>
      <c r="P32" s="33">
        <f>RANK(Tableau111[[#This Row],[SCORE
Final 
2025]],Tableau111[SCORE
Final 
2025],1)</f>
        <v>27</v>
      </c>
    </row>
    <row r="33" spans="2:16" ht="19.95" customHeight="1">
      <c r="B33" s="15" t="s">
        <v>117</v>
      </c>
      <c r="C33" s="15" t="s">
        <v>88</v>
      </c>
      <c r="D33" s="31" t="s">
        <v>11</v>
      </c>
      <c r="E33" s="186">
        <f>_xlfn.IFNA(VLOOKUP(TRIM(CONCATENATE(Tableau111[[#This Row],[PRENOM]],Tableau111[[#This Row],[NOM]])),'T1'!$C$5:$E$106,3,FALSE),90)</f>
        <v>64</v>
      </c>
      <c r="F33" s="34">
        <f>_xlfn.IFNA(VLOOKUP(TRIM(CONCATENATE(Tableau111[[#This Row],[PRENOM]],Tableau111[[#This Row],[NOM]])),'T2'!$C$5:$E$94,3,FALSE),90)</f>
        <v>90</v>
      </c>
      <c r="G33" s="204">
        <f>_xlfn.IFNA(VLOOKUP(TRIM(CONCATENATE(Tableau111[[#This Row],[PRENOM]],Tableau111[[#This Row],[NOM]])),'T3'!$C$6:$E$115,3,FALSE),90)</f>
        <v>57</v>
      </c>
      <c r="H33" s="34">
        <f>_xlfn.IFNA(VLOOKUP(TRIM(CONCATENATE(Tableau111[[#This Row],[PRENOM]],Tableau111[[#This Row],[NOM]])),'T4'!$C$5:$E$100,3,FALSE),90)</f>
        <v>90</v>
      </c>
      <c r="I33" s="34">
        <f>_xlfn.IFNA(VLOOKUP(TRIM(CONCATENATE(Tableau111[[#This Row],[PRENOM]],Tableau111[[#This Row],[NOM]])),'T5'!$C$5:$E$115,3,FALSE),90)</f>
        <v>90</v>
      </c>
      <c r="J33" s="222">
        <f>_xlfn.IFNA(VLOOKUP(TRIM(CONCATENATE(Tableau111[[#This Row],[PRENOM]],Tableau111[[#This Row],[NOM]])),'T6'!$C$5:$E$126,3,FALSE),90)</f>
        <v>66</v>
      </c>
      <c r="K33" s="34">
        <f>_xlfn.IFNA(VLOOKUP(TRIM(CONCATENATE(Tableau111[[#This Row],[PRENOM]],Tableau111[[#This Row],[NOM]])),'T7'!$C$5:$E$113,3,FALSE),90)</f>
        <v>90</v>
      </c>
      <c r="L33" s="72">
        <f t="shared" si="0"/>
        <v>547</v>
      </c>
      <c r="M33" s="70">
        <f t="shared" si="1"/>
        <v>90</v>
      </c>
      <c r="N33" s="71">
        <f t="shared" si="2"/>
        <v>90</v>
      </c>
      <c r="O33" s="33">
        <f t="shared" si="3"/>
        <v>367</v>
      </c>
      <c r="P33" s="33">
        <f>RANK(Tableau111[[#This Row],[SCORE
Final 
2025]],Tableau111[SCORE
Final 
2025],1)</f>
        <v>29</v>
      </c>
    </row>
    <row r="34" spans="2:16" ht="19.95" customHeight="1">
      <c r="B34" s="7" t="s">
        <v>103</v>
      </c>
      <c r="C34" s="7" t="s">
        <v>104</v>
      </c>
      <c r="D34" s="29" t="s">
        <v>17</v>
      </c>
      <c r="E34" s="34">
        <f>_xlfn.IFNA(VLOOKUP(TRIM(CONCATENATE(Tableau111[[#This Row],[PRENOM]],Tableau111[[#This Row],[NOM]])),'T1'!$C$5:$E$106,3,FALSE),90)</f>
        <v>90</v>
      </c>
      <c r="F34" s="34">
        <f>_xlfn.IFNA(VLOOKUP(TRIM(CONCATENATE(Tableau111[[#This Row],[PRENOM]],Tableau111[[#This Row],[NOM]])),'T2'!$C$5:$E$94,3,FALSE),90)</f>
        <v>90</v>
      </c>
      <c r="G34" s="34">
        <f>_xlfn.IFNA(VLOOKUP(TRIM(CONCATENATE(Tableau111[[#This Row],[PRENOM]],Tableau111[[#This Row],[NOM]])),'T3'!$C$6:$E$115,3,FALSE),90)</f>
        <v>90</v>
      </c>
      <c r="H34" s="34">
        <f>_xlfn.IFNA(VLOOKUP(TRIM(CONCATENATE(Tableau111[[#This Row],[PRENOM]],Tableau111[[#This Row],[NOM]])),'T4'!$C$5:$E$100,3,FALSE),90)</f>
        <v>90</v>
      </c>
      <c r="I34" s="214">
        <f>_xlfn.IFNA(VLOOKUP(TRIM(CONCATENATE(Tableau111[[#This Row],[PRENOM]],Tableau111[[#This Row],[NOM]])),'T5'!$C$5:$E$115,3,FALSE),90)</f>
        <v>67</v>
      </c>
      <c r="J34" s="222">
        <f>_xlfn.IFNA(VLOOKUP(TRIM(CONCATENATE(Tableau111[[#This Row],[PRENOM]],Tableau111[[#This Row],[NOM]])),'T6'!$C$5:$E$126,3,FALSE),90)</f>
        <v>60</v>
      </c>
      <c r="K34" s="185">
        <f>_xlfn.IFNA(VLOOKUP(TRIM(CONCATENATE(Tableau111[[#This Row],[PRENOM]],Tableau111[[#This Row],[NOM]])),'T7'!$C$5:$E$113,3,FALSE),90)</f>
        <v>63</v>
      </c>
      <c r="L34" s="35">
        <f t="shared" si="0"/>
        <v>550</v>
      </c>
      <c r="M34" s="37">
        <f t="shared" si="1"/>
        <v>90</v>
      </c>
      <c r="N34" s="38">
        <f t="shared" si="2"/>
        <v>90</v>
      </c>
      <c r="O34" s="33">
        <f t="shared" si="3"/>
        <v>370</v>
      </c>
      <c r="P34" s="33">
        <f>RANK(Tableau111[[#This Row],[SCORE
Final 
2025]],Tableau111[SCORE
Final 
2025],1)</f>
        <v>30</v>
      </c>
    </row>
    <row r="35" spans="2:16" ht="19.95" customHeight="1">
      <c r="B35" s="7" t="s">
        <v>124</v>
      </c>
      <c r="C35" s="139" t="s">
        <v>33</v>
      </c>
      <c r="D35" s="26" t="s">
        <v>107</v>
      </c>
      <c r="E35" s="68">
        <f>_xlfn.IFNA(VLOOKUP(TRIM(CONCATENATE(Tableau111[[#This Row],[PRENOM]],Tableau111[[#This Row],[NOM]])),'T1'!$C$5:$E$106,3,FALSE),90)</f>
        <v>90</v>
      </c>
      <c r="F35" s="68">
        <f>_xlfn.IFNA(VLOOKUP(TRIM(CONCATENATE(Tableau111[[#This Row],[PRENOM]],Tableau111[[#This Row],[NOM]])),'T2'!$C$5:$E$94,3,FALSE),90)</f>
        <v>90</v>
      </c>
      <c r="G35" s="204">
        <f>_xlfn.IFNA(VLOOKUP(TRIM(CONCATENATE(Tableau111[[#This Row],[PRENOM]],Tableau111[[#This Row],[NOM]])),'T3'!$C$6:$E$115,3,FALSE),90)</f>
        <v>70</v>
      </c>
      <c r="H35" s="209">
        <f>_xlfn.IFNA(VLOOKUP(TRIM(CONCATENATE(Tableau111[[#This Row],[PRENOM]],Tableau111[[#This Row],[NOM]])),'T4'!$C$5:$E$100,3,FALSE),90)</f>
        <v>72</v>
      </c>
      <c r="I35" s="240">
        <f>_xlfn.IFNA(VLOOKUP(TRIM(CONCATENATE(Tableau111[[#This Row],[PRENOM]],Tableau111[[#This Row],[NOM]])),'T5'!$C$5:$E$115,3,FALSE),90)</f>
        <v>71</v>
      </c>
      <c r="J35" s="224">
        <f>_xlfn.IFNA(VLOOKUP(TRIM(CONCATENATE(Tableau111[[#This Row],[PRENOM]],Tableau111[[#This Row],[NOM]])),'T6'!$C$5:$E$126,3,FALSE),90)</f>
        <v>71</v>
      </c>
      <c r="K35" s="68">
        <f>_xlfn.IFNA(VLOOKUP(TRIM(CONCATENATE(Tableau111[[#This Row],[PRENOM]],Tableau111[[#This Row],[NOM]])),'T7'!$C$5:$E$113,3,FALSE),90)</f>
        <v>90</v>
      </c>
      <c r="L35" s="161">
        <f t="shared" si="0"/>
        <v>554</v>
      </c>
      <c r="M35" s="128">
        <f t="shared" si="1"/>
        <v>90</v>
      </c>
      <c r="N35" s="129">
        <f t="shared" si="2"/>
        <v>90</v>
      </c>
      <c r="O35" s="69">
        <f t="shared" si="3"/>
        <v>374</v>
      </c>
      <c r="P35" s="69">
        <f>RANK(Tableau111[[#This Row],[SCORE
Final 
2025]],Tableau111[SCORE
Final 
2025],1)</f>
        <v>31</v>
      </c>
    </row>
    <row r="36" spans="2:16" ht="19.95" customHeight="1">
      <c r="B36" s="7" t="s">
        <v>89</v>
      </c>
      <c r="C36" s="15" t="s">
        <v>31</v>
      </c>
      <c r="D36" s="26" t="s">
        <v>107</v>
      </c>
      <c r="E36" s="68">
        <f>_xlfn.IFNA(VLOOKUP(TRIM(CONCATENATE(Tableau111[[#This Row],[PRENOM]],Tableau111[[#This Row],[NOM]])),'T1'!$C$5:$E$106,3,FALSE),90)</f>
        <v>90</v>
      </c>
      <c r="F36" s="68">
        <f>_xlfn.IFNA(VLOOKUP(TRIM(CONCATENATE(Tableau111[[#This Row],[PRENOM]],Tableau111[[#This Row],[NOM]])),'T2'!$C$5:$E$94,3,FALSE),90)</f>
        <v>90</v>
      </c>
      <c r="G36" s="68">
        <f>_xlfn.IFNA(VLOOKUP(TRIM(CONCATENATE(Tableau111[[#This Row],[PRENOM]],Tableau111[[#This Row],[NOM]])),'T3'!$C$6:$E$115,3,FALSE),90)</f>
        <v>90</v>
      </c>
      <c r="H36" s="209">
        <f>_xlfn.IFNA(VLOOKUP(TRIM(CONCATENATE(Tableau111[[#This Row],[PRENOM]],Tableau111[[#This Row],[NOM]])),'T4'!$C$5:$E$100,3,FALSE),90)</f>
        <v>71</v>
      </c>
      <c r="I36" s="240">
        <f>_xlfn.IFNA(VLOOKUP(TRIM(CONCATENATE(Tableau111[[#This Row],[PRENOM]],Tableau111[[#This Row],[NOM]])),'T5'!$C$5:$E$115,3,FALSE),90)</f>
        <v>66</v>
      </c>
      <c r="J36" s="68">
        <f>_xlfn.IFNA(VLOOKUP(TRIM(CONCATENATE(Tableau111[[#This Row],[PRENOM]],Tableau111[[#This Row],[NOM]])),'T6'!$C$5:$E$126,3,FALSE),90)</f>
        <v>90</v>
      </c>
      <c r="K36" s="186">
        <f>_xlfn.IFNA(VLOOKUP(TRIM(CONCATENATE(Tableau111[[#This Row],[PRENOM]],Tableau111[[#This Row],[NOM]])),'T7'!$C$5:$E$113,3,FALSE),90)</f>
        <v>61</v>
      </c>
      <c r="L36" s="72">
        <f t="shared" si="0"/>
        <v>558</v>
      </c>
      <c r="M36" s="70">
        <f t="shared" si="1"/>
        <v>90</v>
      </c>
      <c r="N36" s="71">
        <f t="shared" si="2"/>
        <v>90</v>
      </c>
      <c r="O36" s="33">
        <f t="shared" si="3"/>
        <v>378</v>
      </c>
      <c r="P36" s="33">
        <f>RANK(Tableau111[[#This Row],[SCORE
Final 
2025]],Tableau111[SCORE
Final 
2025],1)</f>
        <v>32</v>
      </c>
    </row>
    <row r="37" spans="2:16" ht="19.95" customHeight="1">
      <c r="B37" s="15" t="s">
        <v>122</v>
      </c>
      <c r="C37" s="15" t="s">
        <v>123</v>
      </c>
      <c r="D37" s="29" t="s">
        <v>17</v>
      </c>
      <c r="E37" s="68">
        <f>_xlfn.IFNA(VLOOKUP(TRIM(CONCATENATE(Tableau111[[#This Row],[PRENOM]],Tableau111[[#This Row],[NOM]])),'T1'!$C$5:$E$106,3,FALSE),90)</f>
        <v>90</v>
      </c>
      <c r="F37" s="199">
        <f>_xlfn.IFNA(VLOOKUP(TRIM(CONCATENATE(Tableau111[[#This Row],[PRENOM]],Tableau111[[#This Row],[NOM]])),'T2'!$C$5:$E$94,3,FALSE),90)</f>
        <v>68</v>
      </c>
      <c r="G37" s="68">
        <f>_xlfn.IFNA(VLOOKUP(TRIM(CONCATENATE(Tableau111[[#This Row],[PRENOM]],Tableau111[[#This Row],[NOM]])),'T3'!$C$6:$E$115,3,FALSE),90)</f>
        <v>90</v>
      </c>
      <c r="H37" s="68">
        <f>_xlfn.IFNA(VLOOKUP(TRIM(CONCATENATE(Tableau111[[#This Row],[PRENOM]],Tableau111[[#This Row],[NOM]])),'T4'!$C$5:$E$100,3,FALSE),90)</f>
        <v>90</v>
      </c>
      <c r="I37" s="68">
        <f>_xlfn.IFNA(VLOOKUP(TRIM(CONCATENATE(Tableau111[[#This Row],[PRENOM]],Tableau111[[#This Row],[NOM]])),'T5'!$C$5:$E$115,3,FALSE),90)</f>
        <v>90</v>
      </c>
      <c r="J37" s="224">
        <f>_xlfn.IFNA(VLOOKUP(TRIM(CONCATENATE(Tableau111[[#This Row],[PRENOM]],Tableau111[[#This Row],[NOM]])),'T6'!$C$5:$E$126,3,FALSE),90)</f>
        <v>67</v>
      </c>
      <c r="K37" s="186">
        <f>_xlfn.IFNA(VLOOKUP(TRIM(CONCATENATE(Tableau111[[#This Row],[PRENOM]],Tableau111[[#This Row],[NOM]])),'T7'!$C$5:$E$113,3,FALSE),90)</f>
        <v>69</v>
      </c>
      <c r="L37" s="72">
        <f t="shared" ref="L37:L64" si="4">SUM(E37:K37)</f>
        <v>564</v>
      </c>
      <c r="M37" s="70">
        <f t="shared" ref="M37:M64" si="5">LARGE(E37:K37,1)</f>
        <v>90</v>
      </c>
      <c r="N37" s="71">
        <f t="shared" ref="N37:N64" si="6">LARGE(E37:K37,2)</f>
        <v>90</v>
      </c>
      <c r="O37" s="33">
        <f t="shared" ref="O37:O64" si="7">L37-M37-N37</f>
        <v>384</v>
      </c>
      <c r="P37" s="33">
        <f>RANK(Tableau111[[#This Row],[SCORE
Final 
2025]],Tableau111[SCORE
Final 
2025],1)</f>
        <v>33</v>
      </c>
    </row>
    <row r="38" spans="2:16" ht="19.95" customHeight="1">
      <c r="B38" s="15" t="s">
        <v>222</v>
      </c>
      <c r="C38" s="15" t="s">
        <v>12</v>
      </c>
      <c r="D38" s="55" t="s">
        <v>24</v>
      </c>
      <c r="E38" s="68">
        <f>_xlfn.IFNA(VLOOKUP(TRIM(CONCATENATE(Tableau111[[#This Row],[PRENOM]],Tableau111[[#This Row],[NOM]])),'T1'!$C$5:$E$106,3,FALSE),90)</f>
        <v>90</v>
      </c>
      <c r="F38" s="68">
        <f>_xlfn.IFNA(VLOOKUP(TRIM(CONCATENATE(Tableau111[[#This Row],[PRENOM]],Tableau111[[#This Row],[NOM]])),'T2'!$C$5:$E$94,3,FALSE),90)</f>
        <v>90</v>
      </c>
      <c r="G38" s="68">
        <f>_xlfn.IFNA(VLOOKUP(TRIM(CONCATENATE(Tableau111[[#This Row],[PRENOM]],Tableau111[[#This Row],[NOM]])),'T3'!$C$6:$E$115,3,FALSE),90)</f>
        <v>90</v>
      </c>
      <c r="H38" s="34">
        <f>_xlfn.IFNA(VLOOKUP(TRIM(CONCATENATE(Tableau111[[#This Row],[PRENOM]],Tableau111[[#This Row],[NOM]])),'T4'!$C$5:$E$100,3,FALSE),90)</f>
        <v>90</v>
      </c>
      <c r="I38" s="34">
        <f>_xlfn.IFNA(VLOOKUP(TRIM(CONCATENATE(Tableau111[[#This Row],[PRENOM]],Tableau111[[#This Row],[NOM]])),'T5'!$C$5:$E$115,3,FALSE),90)</f>
        <v>90</v>
      </c>
      <c r="J38" s="222">
        <f>_xlfn.IFNA(VLOOKUP(TRIM(CONCATENATE(Tableau111[[#This Row],[PRENOM]],Tableau111[[#This Row],[NOM]])),'T6'!$C$5:$E$126,3,FALSE),90)</f>
        <v>62</v>
      </c>
      <c r="K38" s="185">
        <f>_xlfn.IFNA(VLOOKUP(TRIM(CONCATENATE(Tableau111[[#This Row],[PRENOM]],Tableau111[[#This Row],[NOM]])),'T7'!$C$5:$E$113,3,FALSE),90)</f>
        <v>53</v>
      </c>
      <c r="L38" s="72">
        <f t="shared" si="4"/>
        <v>565</v>
      </c>
      <c r="M38" s="70">
        <f t="shared" si="5"/>
        <v>90</v>
      </c>
      <c r="N38" s="71">
        <f t="shared" si="6"/>
        <v>90</v>
      </c>
      <c r="O38" s="33">
        <f t="shared" si="7"/>
        <v>385</v>
      </c>
      <c r="P38" s="33">
        <f>RANK(Tableau111[[#This Row],[SCORE
Final 
2025]],Tableau111[SCORE
Final 
2025],1)</f>
        <v>34</v>
      </c>
    </row>
    <row r="39" spans="2:16" ht="19.95" customHeight="1">
      <c r="B39" s="7" t="s">
        <v>149</v>
      </c>
      <c r="C39" s="7" t="s">
        <v>88</v>
      </c>
      <c r="D39" s="31" t="s">
        <v>11</v>
      </c>
      <c r="E39" s="34">
        <f>_xlfn.IFNA(VLOOKUP(TRIM(CONCATENATE(Tableau111[[#This Row],[PRENOM]],Tableau111[[#This Row],[NOM]])),'T1'!$C$5:$E$106,3,FALSE),90)</f>
        <v>90</v>
      </c>
      <c r="F39" s="34">
        <f>_xlfn.IFNA(VLOOKUP(TRIM(CONCATENATE(Tableau111[[#This Row],[PRENOM]],Tableau111[[#This Row],[NOM]])),'T2'!$C$5:$E$94,3,FALSE),90)</f>
        <v>90</v>
      </c>
      <c r="G39" s="34">
        <f>_xlfn.IFNA(VLOOKUP(TRIM(CONCATENATE(Tableau111[[#This Row],[PRENOM]],Tableau111[[#This Row],[NOM]])),'T3'!$C$6:$E$115,3,FALSE),90)</f>
        <v>90</v>
      </c>
      <c r="H39" s="34">
        <f>_xlfn.IFNA(VLOOKUP(TRIM(CONCATENATE(Tableau111[[#This Row],[PRENOM]],Tableau111[[#This Row],[NOM]])),'T4'!$C$5:$E$100,3,FALSE),90)</f>
        <v>90</v>
      </c>
      <c r="I39" s="34">
        <f>_xlfn.IFNA(VLOOKUP(TRIM(CONCATENATE(Tableau111[[#This Row],[PRENOM]],Tableau111[[#This Row],[NOM]])),'T5'!$C$5:$E$115,3,FALSE),90)</f>
        <v>90</v>
      </c>
      <c r="J39" s="222">
        <f>_xlfn.IFNA(VLOOKUP(TRIM(CONCATENATE(Tableau111[[#This Row],[PRENOM]],Tableau111[[#This Row],[NOM]])),'T6'!$C$5:$E$126,3,FALSE),90)</f>
        <v>61</v>
      </c>
      <c r="K39" s="185">
        <f>_xlfn.IFNA(VLOOKUP(TRIM(CONCATENATE(Tableau111[[#This Row],[PRENOM]],Tableau111[[#This Row],[NOM]])),'T7'!$C$5:$E$113,3,FALSE),90)</f>
        <v>55</v>
      </c>
      <c r="L39" s="35">
        <f t="shared" si="4"/>
        <v>566</v>
      </c>
      <c r="M39" s="37">
        <f t="shared" si="5"/>
        <v>90</v>
      </c>
      <c r="N39" s="38">
        <f t="shared" si="6"/>
        <v>90</v>
      </c>
      <c r="O39" s="33">
        <f t="shared" si="7"/>
        <v>386</v>
      </c>
      <c r="P39" s="33">
        <f>RANK(Tableau111[[#This Row],[SCORE
Final 
2025]],Tableau111[SCORE
Final 
2025],1)</f>
        <v>35</v>
      </c>
    </row>
    <row r="40" spans="2:16" ht="19.95" customHeight="1">
      <c r="B40" s="7" t="s">
        <v>213</v>
      </c>
      <c r="C40" s="15" t="s">
        <v>40</v>
      </c>
      <c r="D40" s="29" t="s">
        <v>17</v>
      </c>
      <c r="E40" s="68">
        <f>_xlfn.IFNA(VLOOKUP(TRIM(CONCATENATE(Tableau111[[#This Row],[PRENOM]],Tableau111[[#This Row],[NOM]])),'T1'!$C$5:$E$106,3,FALSE),90)</f>
        <v>90</v>
      </c>
      <c r="F40" s="68">
        <f>_xlfn.IFNA(VLOOKUP(TRIM(CONCATENATE(Tableau111[[#This Row],[PRENOM]],Tableau111[[#This Row],[NOM]])),'T2'!$C$5:$E$94,3,FALSE),90)</f>
        <v>90</v>
      </c>
      <c r="G40" s="68">
        <f>_xlfn.IFNA(VLOOKUP(TRIM(CONCATENATE(Tableau111[[#This Row],[PRENOM]],Tableau111[[#This Row],[NOM]])),'T3'!$C$6:$E$115,3,FALSE),90)</f>
        <v>90</v>
      </c>
      <c r="H40" s="68">
        <f>_xlfn.IFNA(VLOOKUP(TRIM(CONCATENATE(Tableau111[[#This Row],[PRENOM]],Tableau111[[#This Row],[NOM]])),'T4'!$C$5:$E$100,3,FALSE),90)</f>
        <v>76</v>
      </c>
      <c r="I40" s="240">
        <f>_xlfn.IFNA(VLOOKUP(TRIM(CONCATENATE(Tableau111[[#This Row],[PRENOM]],Tableau111[[#This Row],[NOM]])),'T5'!$C$5:$E$115,3,FALSE),90)</f>
        <v>79</v>
      </c>
      <c r="J40" s="224">
        <f>_xlfn.IFNA(VLOOKUP(TRIM(CONCATENATE(Tableau111[[#This Row],[PRENOM]],Tableau111[[#This Row],[NOM]])),'T6'!$C$5:$E$126,3,FALSE),90)</f>
        <v>75</v>
      </c>
      <c r="K40" s="186">
        <f>_xlfn.IFNA(VLOOKUP(TRIM(CONCATENATE(Tableau111[[#This Row],[PRENOM]],Tableau111[[#This Row],[NOM]])),'T7'!$C$5:$E$113,3,FALSE),90)</f>
        <v>71</v>
      </c>
      <c r="L40" s="72">
        <f t="shared" si="4"/>
        <v>571</v>
      </c>
      <c r="M40" s="70">
        <f t="shared" si="5"/>
        <v>90</v>
      </c>
      <c r="N40" s="71">
        <f t="shared" si="6"/>
        <v>90</v>
      </c>
      <c r="O40" s="33">
        <f t="shared" si="7"/>
        <v>391</v>
      </c>
      <c r="P40" s="33">
        <f>RANK(Tableau111[[#This Row],[SCORE
Final 
2025]],Tableau111[SCORE
Final 
2025],1)</f>
        <v>36</v>
      </c>
    </row>
    <row r="41" spans="2:16" ht="19.95" customHeight="1">
      <c r="B41" s="7" t="s">
        <v>171</v>
      </c>
      <c r="C41" s="7" t="s">
        <v>33</v>
      </c>
      <c r="D41" s="31" t="s">
        <v>11</v>
      </c>
      <c r="E41" s="34">
        <f>_xlfn.IFNA(VLOOKUP(TRIM(CONCATENATE(Tableau111[[#This Row],[PRENOM]],Tableau111[[#This Row],[NOM]])),'T1'!$C$5:$E$106,3,FALSE),90)</f>
        <v>90</v>
      </c>
      <c r="F41" s="198">
        <f>_xlfn.IFNA(VLOOKUP(TRIM(CONCATENATE(Tableau111[[#This Row],[PRENOM]],Tableau111[[#This Row],[NOM]])),'T2'!$C$5:$E$94,3,FALSE),90)</f>
        <v>66</v>
      </c>
      <c r="G41" s="34">
        <f>_xlfn.IFNA(VLOOKUP(TRIM(CONCATENATE(Tableau111[[#This Row],[PRENOM]],Tableau111[[#This Row],[NOM]])),'T3'!$C$6:$E$115,3,FALSE),90)</f>
        <v>90</v>
      </c>
      <c r="H41" s="34">
        <f>_xlfn.IFNA(VLOOKUP(TRIM(CONCATENATE(Tableau111[[#This Row],[PRENOM]],Tableau111[[#This Row],[NOM]])),'T4'!$C$5:$E$100,3,FALSE),90)</f>
        <v>90</v>
      </c>
      <c r="I41" s="34">
        <f>_xlfn.IFNA(VLOOKUP(TRIM(CONCATENATE(Tableau111[[#This Row],[PRENOM]],Tableau111[[#This Row],[NOM]])),'T5'!$C$5:$E$115,3,FALSE),90)</f>
        <v>90</v>
      </c>
      <c r="J41" s="222">
        <f>_xlfn.IFNA(VLOOKUP(TRIM(CONCATENATE(Tableau111[[#This Row],[PRENOM]],Tableau111[[#This Row],[NOM]])),'T6'!$C$5:$E$126,3,FALSE),90)</f>
        <v>56</v>
      </c>
      <c r="K41" s="34">
        <f>_xlfn.IFNA(VLOOKUP(TRIM(CONCATENATE(Tableau111[[#This Row],[PRENOM]],Tableau111[[#This Row],[NOM]])),'T7'!$C$5:$E$113,3,FALSE),90)</f>
        <v>90</v>
      </c>
      <c r="L41" s="35">
        <f t="shared" si="4"/>
        <v>572</v>
      </c>
      <c r="M41" s="37">
        <f t="shared" si="5"/>
        <v>90</v>
      </c>
      <c r="N41" s="38">
        <f t="shared" si="6"/>
        <v>90</v>
      </c>
      <c r="O41" s="33">
        <f t="shared" si="7"/>
        <v>392</v>
      </c>
      <c r="P41" s="33">
        <f>RANK(Tableau111[[#This Row],[SCORE
Final 
2025]],Tableau111[SCORE
Final 
2025],1)</f>
        <v>37</v>
      </c>
    </row>
    <row r="42" spans="2:16" ht="19.95" customHeight="1">
      <c r="B42" s="7" t="s">
        <v>219</v>
      </c>
      <c r="C42" s="7" t="s">
        <v>29</v>
      </c>
      <c r="D42" s="61" t="s">
        <v>11</v>
      </c>
      <c r="E42" s="185">
        <f>_xlfn.IFNA(VLOOKUP(TRIM(CONCATENATE(Tableau111[[#This Row],[PRENOM]],Tableau111[[#This Row],[NOM]])),'T1'!$C$5:$E$106,3,FALSE),90)</f>
        <v>90</v>
      </c>
      <c r="F42" s="34">
        <f>_xlfn.IFNA(VLOOKUP(TRIM(CONCATENATE(Tableau111[[#This Row],[PRENOM]],Tableau111[[#This Row],[NOM]])),'T2'!$C$5:$E$94,3,FALSE),90)</f>
        <v>90</v>
      </c>
      <c r="G42" s="203">
        <f>_xlfn.IFNA(VLOOKUP(TRIM(CONCATENATE(Tableau111[[#This Row],[PRENOM]],Tableau111[[#This Row],[NOM]])),'T3'!$C$6:$E$115,3,FALSE),90)</f>
        <v>90</v>
      </c>
      <c r="H42" s="208">
        <f>_xlfn.IFNA(VLOOKUP(TRIM(CONCATENATE(Tableau111[[#This Row],[PRENOM]],Tableau111[[#This Row],[NOM]])),'T4'!$C$5:$E$100,3,FALSE),90)</f>
        <v>90</v>
      </c>
      <c r="I42" s="34">
        <f>_xlfn.IFNA(VLOOKUP(TRIM(CONCATENATE(Tableau111[[#This Row],[PRENOM]],Tableau111[[#This Row],[NOM]])),'T5'!$C$5:$E$115,3,FALSE),90)</f>
        <v>90</v>
      </c>
      <c r="J42" s="222">
        <f>_xlfn.IFNA(VLOOKUP(TRIM(CONCATENATE(Tableau111[[#This Row],[PRENOM]],Tableau111[[#This Row],[NOM]])),'T6'!$C$5:$E$126,3,FALSE),90)</f>
        <v>67</v>
      </c>
      <c r="K42" s="185">
        <v>59</v>
      </c>
      <c r="L42" s="35">
        <f t="shared" si="4"/>
        <v>576</v>
      </c>
      <c r="M42" s="37">
        <f t="shared" si="5"/>
        <v>90</v>
      </c>
      <c r="N42" s="38">
        <f t="shared" si="6"/>
        <v>90</v>
      </c>
      <c r="O42" s="33">
        <f t="shared" si="7"/>
        <v>396</v>
      </c>
      <c r="P42" s="33">
        <f>RANK(Tableau111[[#This Row],[SCORE
Final 
2025]],Tableau111[SCORE
Final 
2025],1)</f>
        <v>38</v>
      </c>
    </row>
    <row r="43" spans="2:16" ht="19.95" customHeight="1">
      <c r="B43" s="15" t="s">
        <v>197</v>
      </c>
      <c r="C43" s="182" t="s">
        <v>88</v>
      </c>
      <c r="D43" s="55" t="s">
        <v>24</v>
      </c>
      <c r="E43" s="186">
        <f>_xlfn.IFNA(VLOOKUP(TRIM(CONCATENATE(Tableau111[[#This Row],[PRENOM]],Tableau111[[#This Row],[NOM]])),'T1'!$C$5:$E$106,3,FALSE),90)</f>
        <v>61</v>
      </c>
      <c r="F43" s="68">
        <f>_xlfn.IFNA(VLOOKUP(TRIM(CONCATENATE(Tableau111[[#This Row],[PRENOM]],Tableau111[[#This Row],[NOM]])),'T2'!$C$5:$E$94,3,FALSE),90)</f>
        <v>90</v>
      </c>
      <c r="G43" s="68">
        <f>_xlfn.IFNA(VLOOKUP(TRIM(CONCATENATE(Tableau111[[#This Row],[PRENOM]],Tableau111[[#This Row],[NOM]])),'T3'!$C$6:$E$115,3,FALSE),90)</f>
        <v>90</v>
      </c>
      <c r="H43" s="34">
        <f>_xlfn.IFNA(VLOOKUP(TRIM(CONCATENATE(Tableau111[[#This Row],[PRENOM]],Tableau111[[#This Row],[NOM]])),'T4'!$C$5:$E$100,3,FALSE),90)</f>
        <v>90</v>
      </c>
      <c r="I43" s="34">
        <f>_xlfn.IFNA(VLOOKUP(TRIM(CONCATENATE(Tableau111[[#This Row],[PRENOM]],Tableau111[[#This Row],[NOM]])),'T5'!$C$5:$E$115,3,FALSE),90)</f>
        <v>90</v>
      </c>
      <c r="J43" s="222">
        <v>67</v>
      </c>
      <c r="K43" s="34">
        <f>_xlfn.IFNA(VLOOKUP(TRIM(CONCATENATE(Tableau111[[#This Row],[PRENOM]],Tableau111[[#This Row],[NOM]])),'T7'!$C$5:$E$113,3,FALSE),90)</f>
        <v>90</v>
      </c>
      <c r="L43" s="183">
        <f t="shared" si="4"/>
        <v>578</v>
      </c>
      <c r="M43" s="179">
        <f t="shared" si="5"/>
        <v>90</v>
      </c>
      <c r="N43" s="180">
        <f t="shared" si="6"/>
        <v>90</v>
      </c>
      <c r="O43" s="181">
        <f t="shared" si="7"/>
        <v>398</v>
      </c>
      <c r="P43" s="181">
        <f>RANK(Tableau111[[#This Row],[SCORE
Final 
2025]],Tableau111[SCORE
Final 
2025],1)</f>
        <v>39</v>
      </c>
    </row>
    <row r="44" spans="2:16" ht="19.95" customHeight="1">
      <c r="B44" s="7" t="s">
        <v>225</v>
      </c>
      <c r="C44" s="15" t="s">
        <v>60</v>
      </c>
      <c r="D44" s="55" t="s">
        <v>24</v>
      </c>
      <c r="E44" s="34">
        <f>_xlfn.IFNA(VLOOKUP(TRIM(CONCATENATE(Tableau111[[#This Row],[PRENOM]],Tableau111[[#This Row],[NOM]])),'T1'!$C$5:$E$106,3,FALSE),90)</f>
        <v>90</v>
      </c>
      <c r="F44" s="34">
        <f>_xlfn.IFNA(VLOOKUP(TRIM(CONCATENATE(Tableau111[[#This Row],[PRENOM]],Tableau111[[#This Row],[NOM]])),'T2'!$C$5:$E$94,3,FALSE),90)</f>
        <v>90</v>
      </c>
      <c r="G44" s="34">
        <f>_xlfn.IFNA(VLOOKUP(TRIM(CONCATENATE(Tableau111[[#This Row],[PRENOM]],Tableau111[[#This Row],[NOM]])),'T3'!$C$6:$E$115,3,FALSE),90)</f>
        <v>90</v>
      </c>
      <c r="H44" s="34">
        <f>_xlfn.IFNA(VLOOKUP(TRIM(CONCATENATE(Tableau111[[#This Row],[PRENOM]],Tableau111[[#This Row],[NOM]])),'T4'!$C$5:$E$100,3,FALSE),90)</f>
        <v>90</v>
      </c>
      <c r="I44" s="34">
        <f>_xlfn.IFNA(VLOOKUP(TRIM(CONCATENATE(Tableau111[[#This Row],[PRENOM]],Tableau111[[#This Row],[NOM]])),'T5'!$C$5:$E$115,3,FALSE),90)</f>
        <v>90</v>
      </c>
      <c r="J44" s="222">
        <f>_xlfn.IFNA(VLOOKUP(TRIM(CONCATENATE(Tableau111[[#This Row],[PRENOM]],Tableau111[[#This Row],[NOM]])),'T6'!$C$5:$E$126,3,FALSE),90)</f>
        <v>64</v>
      </c>
      <c r="K44" s="185">
        <f>_xlfn.IFNA(VLOOKUP(TRIM(CONCATENATE(Tableau111[[#This Row],[PRENOM]],Tableau111[[#This Row],[NOM]])),'T7'!$C$5:$E$113,3,FALSE),90)</f>
        <v>64</v>
      </c>
      <c r="L44" s="36">
        <f t="shared" si="4"/>
        <v>578</v>
      </c>
      <c r="M44" s="37">
        <f t="shared" si="5"/>
        <v>90</v>
      </c>
      <c r="N44" s="38">
        <f t="shared" si="6"/>
        <v>90</v>
      </c>
      <c r="O44" s="33">
        <f t="shared" si="7"/>
        <v>398</v>
      </c>
      <c r="P44" s="33">
        <f>RANK(Tableau111[[#This Row],[SCORE
Final 
2025]],Tableau111[SCORE
Final 
2025],1)</f>
        <v>39</v>
      </c>
    </row>
    <row r="45" spans="2:16" ht="19.95" customHeight="1">
      <c r="B45" s="7" t="s">
        <v>80</v>
      </c>
      <c r="C45" s="7" t="s">
        <v>68</v>
      </c>
      <c r="D45" s="29" t="s">
        <v>17</v>
      </c>
      <c r="E45" s="34">
        <f>_xlfn.IFNA(VLOOKUP(TRIM(CONCATENATE(Tableau111[[#This Row],[PRENOM]],Tableau111[[#This Row],[NOM]])),'T1'!$C$5:$E$106,3,FALSE),90)</f>
        <v>90</v>
      </c>
      <c r="F45" s="198">
        <f>_xlfn.IFNA(VLOOKUP(TRIM(CONCATENATE(Tableau111[[#This Row],[PRENOM]],Tableau111[[#This Row],[NOM]])),'T2'!$C$5:$E$94,3,FALSE),90)</f>
        <v>77</v>
      </c>
      <c r="G45" s="203">
        <f>_xlfn.IFNA(VLOOKUP(TRIM(CONCATENATE(Tableau111[[#This Row],[PRENOM]],Tableau111[[#This Row],[NOM]])),'T3'!$C$6:$E$115,3,FALSE),90)</f>
        <v>73</v>
      </c>
      <c r="H45" s="34">
        <f>_xlfn.IFNA(VLOOKUP(TRIM(CONCATENATE(Tableau111[[#This Row],[PRENOM]],Tableau111[[#This Row],[NOM]])),'T4'!$C$5:$E$100,3,FALSE),90)</f>
        <v>90</v>
      </c>
      <c r="I45" s="214">
        <f>_xlfn.IFNA(VLOOKUP(TRIM(CONCATENATE(Tableau111[[#This Row],[PRENOM]],Tableau111[[#This Row],[NOM]])),'T5'!$C$5:$E$115,3,FALSE),90)</f>
        <v>70</v>
      </c>
      <c r="J45" s="34">
        <f>_xlfn.IFNA(VLOOKUP(TRIM(CONCATENATE(Tableau111[[#This Row],[PRENOM]],Tableau111[[#This Row],[NOM]])),'T6'!$C$5:$E$126,3,FALSE),90)</f>
        <v>90</v>
      </c>
      <c r="K45" s="34">
        <f>_xlfn.IFNA(VLOOKUP(TRIM(CONCATENATE(Tableau111[[#This Row],[PRENOM]],Tableau111[[#This Row],[NOM]])),'T7'!$C$5:$E$113,3,FALSE),90)</f>
        <v>90</v>
      </c>
      <c r="L45" s="35">
        <f t="shared" si="4"/>
        <v>580</v>
      </c>
      <c r="M45" s="37">
        <f t="shared" si="5"/>
        <v>90</v>
      </c>
      <c r="N45" s="38">
        <f t="shared" si="6"/>
        <v>90</v>
      </c>
      <c r="O45" s="33">
        <f t="shared" si="7"/>
        <v>400</v>
      </c>
      <c r="P45" s="33">
        <f>RANK(Tableau111[[#This Row],[SCORE
Final 
2025]],Tableau111[SCORE
Final 
2025],1)</f>
        <v>41</v>
      </c>
    </row>
    <row r="46" spans="2:16" ht="19.95" customHeight="1">
      <c r="B46" s="7" t="s">
        <v>97</v>
      </c>
      <c r="C46" s="7" t="s">
        <v>72</v>
      </c>
      <c r="D46" s="32" t="s">
        <v>63</v>
      </c>
      <c r="E46" s="34">
        <f>_xlfn.IFNA(VLOOKUP(TRIM(CONCATENATE(Tableau111[[#This Row],[PRENOM]],Tableau111[[#This Row],[NOM]])),'T1'!$C$5:$E$106,3,FALSE),90)</f>
        <v>90</v>
      </c>
      <c r="F46" s="34">
        <f>_xlfn.IFNA(VLOOKUP(TRIM(CONCATENATE(Tableau111[[#This Row],[PRENOM]],Tableau111[[#This Row],[NOM]])),'T2'!$C$5:$E$94,3,FALSE),90)</f>
        <v>90</v>
      </c>
      <c r="G46" s="203">
        <f>_xlfn.IFNA(VLOOKUP(TRIM(CONCATENATE(Tableau111[[#This Row],[PRENOM]],Tableau111[[#This Row],[NOM]])),'T3'!$C$6:$E$115,3,FALSE),90)</f>
        <v>65</v>
      </c>
      <c r="H46" s="208">
        <f>_xlfn.IFNA(VLOOKUP(TRIM(CONCATENATE(Tableau111[[#This Row],[PRENOM]],Tableau111[[#This Row],[NOM]])),'T4'!$C$5:$E$100,3,FALSE),90)</f>
        <v>67</v>
      </c>
      <c r="I46" s="34">
        <f>_xlfn.IFNA(VLOOKUP(TRIM(CONCATENATE(Tableau111[[#This Row],[PRENOM]],Tableau111[[#This Row],[NOM]])),'T5'!$C$5:$E$115,3,FALSE),90)</f>
        <v>90</v>
      </c>
      <c r="J46" s="34">
        <f>_xlfn.IFNA(VLOOKUP(TRIM(CONCATENATE(Tableau111[[#This Row],[PRENOM]],Tableau111[[#This Row],[NOM]])),'T6'!$C$5:$E$126,3,FALSE),90)</f>
        <v>90</v>
      </c>
      <c r="K46" s="34">
        <f>_xlfn.IFNA(VLOOKUP(TRIM(CONCATENATE(Tableau111[[#This Row],[PRENOM]],Tableau111[[#This Row],[NOM]])),'T7'!$C$5:$E$113,3,FALSE),90)</f>
        <v>90</v>
      </c>
      <c r="L46" s="35">
        <f t="shared" si="4"/>
        <v>582</v>
      </c>
      <c r="M46" s="37">
        <f t="shared" si="5"/>
        <v>90</v>
      </c>
      <c r="N46" s="38">
        <f t="shared" si="6"/>
        <v>90</v>
      </c>
      <c r="O46" s="33">
        <f t="shared" si="7"/>
        <v>402</v>
      </c>
      <c r="P46" s="33">
        <f>RANK(Tableau111[[#This Row],[SCORE
Final 
2025]],Tableau111[SCORE
Final 
2025],1)</f>
        <v>42</v>
      </c>
    </row>
    <row r="47" spans="2:16" ht="19.95" customHeight="1">
      <c r="B47" s="7" t="s">
        <v>118</v>
      </c>
      <c r="C47" s="7" t="s">
        <v>40</v>
      </c>
      <c r="D47" s="32" t="s">
        <v>63</v>
      </c>
      <c r="E47" s="185">
        <f>_xlfn.IFNA(VLOOKUP(TRIM(CONCATENATE(Tableau111[[#This Row],[PRENOM]],Tableau111[[#This Row],[NOM]])),'T1'!$C$5:$E$106,3,FALSE),90)</f>
        <v>64</v>
      </c>
      <c r="F47" s="34">
        <f>_xlfn.IFNA(VLOOKUP(TRIM(CONCATENATE(Tableau111[[#This Row],[PRENOM]],Tableau111[[#This Row],[NOM]])),'T2'!$C$5:$E$94,3,FALSE),90)</f>
        <v>90</v>
      </c>
      <c r="G47" s="34">
        <f>_xlfn.IFNA(VLOOKUP(TRIM(CONCATENATE(Tableau111[[#This Row],[PRENOM]],Tableau111[[#This Row],[NOM]])),'T3'!$C$6:$E$115,3,FALSE),90)</f>
        <v>90</v>
      </c>
      <c r="H47" s="34">
        <f>_xlfn.IFNA(VLOOKUP(TRIM(CONCATENATE(Tableau111[[#This Row],[PRENOM]],Tableau111[[#This Row],[NOM]])),'T4'!$C$5:$E$100,3,FALSE),90)</f>
        <v>90</v>
      </c>
      <c r="I47" s="34">
        <f>_xlfn.IFNA(VLOOKUP(TRIM(CONCATENATE(Tableau111[[#This Row],[PRENOM]],Tableau111[[#This Row],[NOM]])),'T5'!$C$5:$E$115,3,FALSE),90)</f>
        <v>90</v>
      </c>
      <c r="J47" s="34">
        <f>_xlfn.IFNA(VLOOKUP(TRIM(CONCATENATE(Tableau111[[#This Row],[PRENOM]],Tableau111[[#This Row],[NOM]])),'T6'!$C$5:$E$126,3,FALSE),90)</f>
        <v>90</v>
      </c>
      <c r="K47" s="185">
        <f>_xlfn.IFNA(VLOOKUP(TRIM(CONCATENATE(Tableau111[[#This Row],[PRENOM]],Tableau111[[#This Row],[NOM]])),'T7'!$C$5:$E$113,3,FALSE),90)</f>
        <v>69</v>
      </c>
      <c r="L47" s="35">
        <f t="shared" si="4"/>
        <v>583</v>
      </c>
      <c r="M47" s="37">
        <f t="shared" si="5"/>
        <v>90</v>
      </c>
      <c r="N47" s="38">
        <f t="shared" si="6"/>
        <v>90</v>
      </c>
      <c r="O47" s="33">
        <f t="shared" si="7"/>
        <v>403</v>
      </c>
      <c r="P47" s="33">
        <f>RANK(Tableau111[[#This Row],[SCORE
Final 
2025]],Tableau111[SCORE
Final 
2025],1)</f>
        <v>43</v>
      </c>
    </row>
    <row r="48" spans="2:16" ht="19.95" customHeight="1">
      <c r="B48" s="7" t="s">
        <v>77</v>
      </c>
      <c r="C48" s="15" t="s">
        <v>44</v>
      </c>
      <c r="D48" s="26" t="s">
        <v>107</v>
      </c>
      <c r="E48" s="186">
        <f>_xlfn.IFNA(VLOOKUP(TRIM(CONCATENATE(Tableau111[[#This Row],[PRENOM]],Tableau111[[#This Row],[NOM]])),'T1'!$C$5:$E$106,3,FALSE),90)</f>
        <v>70</v>
      </c>
      <c r="F48" s="34">
        <f>_xlfn.IFNA(VLOOKUP(TRIM(CONCATENATE(Tableau111[[#This Row],[PRENOM]],Tableau111[[#This Row],[NOM]])),'T2'!$C$5:$E$94,3,FALSE),90)</f>
        <v>90</v>
      </c>
      <c r="G48" s="204">
        <f>_xlfn.IFNA(VLOOKUP(TRIM(CONCATENATE(Tableau111[[#This Row],[PRENOM]],Tableau111[[#This Row],[NOM]])),'T3'!$C$6:$E$115,3,FALSE),90)</f>
        <v>76</v>
      </c>
      <c r="H48" s="208">
        <f>_xlfn.IFNA(VLOOKUP(TRIM(CONCATENATE(Tableau111[[#This Row],[PRENOM]],Tableau111[[#This Row],[NOM]])),'T4'!$C$5:$E$100,3,FALSE),90)</f>
        <v>82</v>
      </c>
      <c r="I48" s="34">
        <f>_xlfn.IFNA(VLOOKUP(TRIM(CONCATENATE(Tableau111[[#This Row],[PRENOM]],Tableau111[[#This Row],[NOM]])),'T5'!$C$5:$E$115,3,FALSE),90)</f>
        <v>90</v>
      </c>
      <c r="J48" s="222">
        <f>_xlfn.IFNA(VLOOKUP(TRIM(CONCATENATE(Tableau111[[#This Row],[PRENOM]],Tableau111[[#This Row],[NOM]])),'T6'!$C$5:$E$126,3,FALSE),90)</f>
        <v>85</v>
      </c>
      <c r="K48" s="34">
        <f>_xlfn.IFNA(VLOOKUP(TRIM(CONCATENATE(Tableau111[[#This Row],[PRENOM]],Tableau111[[#This Row],[NOM]])),'T7'!$C$5:$E$113,3,FALSE),90)</f>
        <v>90</v>
      </c>
      <c r="L48" s="72">
        <f t="shared" si="4"/>
        <v>583</v>
      </c>
      <c r="M48" s="70">
        <f t="shared" si="5"/>
        <v>90</v>
      </c>
      <c r="N48" s="71">
        <f t="shared" si="6"/>
        <v>90</v>
      </c>
      <c r="O48" s="33">
        <f t="shared" si="7"/>
        <v>403</v>
      </c>
      <c r="P48" s="33">
        <f>RANK(Tableau111[[#This Row],[SCORE
Final 
2025]],Tableau111[SCORE
Final 
2025],1)</f>
        <v>43</v>
      </c>
    </row>
    <row r="49" spans="2:16" ht="19.95" customHeight="1">
      <c r="B49" s="7" t="s">
        <v>199</v>
      </c>
      <c r="C49" s="251" t="s">
        <v>200</v>
      </c>
      <c r="D49" s="32" t="s">
        <v>63</v>
      </c>
      <c r="E49" s="185">
        <f>_xlfn.IFNA(VLOOKUP(TRIM(CONCATENATE(Tableau111[[#This Row],[PRENOM]],Tableau111[[#This Row],[NOM]])),'T1'!$C$5:$E$106,3,FALSE),90)</f>
        <v>64</v>
      </c>
      <c r="F49" s="198">
        <f>_xlfn.IFNA(VLOOKUP(TRIM(CONCATENATE(Tableau111[[#This Row],[PRENOM]],Tableau111[[#This Row],[NOM]])),'T2'!$C$5:$E$94,3,FALSE),90)</f>
        <v>69</v>
      </c>
      <c r="G49" s="34">
        <f>_xlfn.IFNA(VLOOKUP(TRIM(CONCATENATE(Tableau111[[#This Row],[PRENOM]],Tableau111[[#This Row],[NOM]])),'T3'!$C$6:$E$115,3,FALSE),90)</f>
        <v>90</v>
      </c>
      <c r="H49" s="34">
        <f>_xlfn.IFNA(VLOOKUP(TRIM(CONCATENATE(Tableau111[[#This Row],[PRENOM]],Tableau111[[#This Row],[NOM]])),'T4'!$C$5:$E$100,3,FALSE),90)</f>
        <v>90</v>
      </c>
      <c r="I49" s="34">
        <f>_xlfn.IFNA(VLOOKUP(TRIM(CONCATENATE(Tableau111[[#This Row],[PRENOM]],Tableau111[[#This Row],[NOM]])),'T5'!$C$5:$E$115,3,FALSE),90)</f>
        <v>90</v>
      </c>
      <c r="J49" s="34">
        <f>_xlfn.IFNA(VLOOKUP(TRIM(CONCATENATE(Tableau111[[#This Row],[PRENOM]],Tableau111[[#This Row],[NOM]])),'T6'!$C$5:$E$126,3,FALSE),90)</f>
        <v>90</v>
      </c>
      <c r="K49" s="34">
        <f>_xlfn.IFNA(VLOOKUP(TRIM(CONCATENATE(Tableau111[[#This Row],[PRENOM]],Tableau111[[#This Row],[NOM]])),'T7'!$C$5:$E$113,3,FALSE),90)</f>
        <v>90</v>
      </c>
      <c r="L49" s="254">
        <f t="shared" si="4"/>
        <v>583</v>
      </c>
      <c r="M49" s="255">
        <f t="shared" si="5"/>
        <v>90</v>
      </c>
      <c r="N49" s="256">
        <f t="shared" si="6"/>
        <v>90</v>
      </c>
      <c r="O49" s="181">
        <f t="shared" si="7"/>
        <v>403</v>
      </c>
      <c r="P49" s="181">
        <f>RANK(Tableau111[[#This Row],[SCORE
Final 
2025]],Tableau111[SCORE
Final 
2025],1)</f>
        <v>43</v>
      </c>
    </row>
    <row r="50" spans="2:16" ht="19.95" customHeight="1">
      <c r="B50" s="7" t="s">
        <v>208</v>
      </c>
      <c r="C50" s="7" t="s">
        <v>109</v>
      </c>
      <c r="D50" s="32" t="s">
        <v>63</v>
      </c>
      <c r="E50" s="185">
        <f>_xlfn.IFNA(VLOOKUP(TRIM(CONCATENATE(Tableau111[[#This Row],[PRENOM]],Tableau111[[#This Row],[NOM]])),'T1'!$C$5:$E$106,3,FALSE),90)</f>
        <v>90</v>
      </c>
      <c r="F50" s="34">
        <f>_xlfn.IFNA(VLOOKUP(TRIM(CONCATENATE(Tableau111[[#This Row],[PRENOM]],Tableau111[[#This Row],[NOM]])),'T2'!$C$5:$E$94,3,FALSE),90)</f>
        <v>90</v>
      </c>
      <c r="G50" s="203">
        <f>_xlfn.IFNA(VLOOKUP(TRIM(CONCATENATE(Tableau111[[#This Row],[PRENOM]],Tableau111[[#This Row],[NOM]])),'T3'!$C$6:$E$115,3,FALSE),90)</f>
        <v>67</v>
      </c>
      <c r="H50" s="34">
        <f>_xlfn.IFNA(VLOOKUP(TRIM(CONCATENATE(Tableau111[[#This Row],[PRENOM]],Tableau111[[#This Row],[NOM]])),'T4'!$C$5:$E$100,3,FALSE),90)</f>
        <v>90</v>
      </c>
      <c r="I50" s="34">
        <f>_xlfn.IFNA(VLOOKUP(TRIM(CONCATENATE(Tableau111[[#This Row],[PRENOM]],Tableau111[[#This Row],[NOM]])),'T5'!$C$5:$E$115,3,FALSE),90)</f>
        <v>90</v>
      </c>
      <c r="J50" s="34">
        <f>_xlfn.IFNA(VLOOKUP(TRIM(CONCATENATE(Tableau111[[#This Row],[PRENOM]],Tableau111[[#This Row],[NOM]])),'T6'!$C$5:$E$126,3,FALSE),90)</f>
        <v>90</v>
      </c>
      <c r="K50" s="185">
        <f>_xlfn.IFNA(VLOOKUP(TRIM(CONCATENATE(Tableau111[[#This Row],[PRENOM]],Tableau111[[#This Row],[NOM]])),'T7'!$C$5:$E$113,3,FALSE),90)</f>
        <v>66</v>
      </c>
      <c r="L50" s="35">
        <f t="shared" si="4"/>
        <v>583</v>
      </c>
      <c r="M50" s="37">
        <f t="shared" si="5"/>
        <v>90</v>
      </c>
      <c r="N50" s="38">
        <f t="shared" si="6"/>
        <v>90</v>
      </c>
      <c r="O50" s="33">
        <f t="shared" si="7"/>
        <v>403</v>
      </c>
      <c r="P50" s="33">
        <f>RANK(Tableau111[[#This Row],[SCORE
Final 
2025]],Tableau111[SCORE
Final 
2025],1)</f>
        <v>43</v>
      </c>
    </row>
    <row r="51" spans="2:16" ht="19.95" customHeight="1">
      <c r="B51" s="7" t="s">
        <v>150</v>
      </c>
      <c r="C51" s="7" t="s">
        <v>151</v>
      </c>
      <c r="D51" s="26" t="s">
        <v>107</v>
      </c>
      <c r="E51" s="34">
        <f>_xlfn.IFNA(VLOOKUP(TRIM(CONCATENATE(Tableau111[[#This Row],[PRENOM]],Tableau111[[#This Row],[NOM]])),'T1'!$C$5:$E$106,3,FALSE),90)</f>
        <v>90</v>
      </c>
      <c r="F51" s="34">
        <f>_xlfn.IFNA(VLOOKUP(TRIM(CONCATENATE(Tableau111[[#This Row],[PRENOM]],Tableau111[[#This Row],[NOM]])),'T2'!$C$5:$E$94,3,FALSE),90)</f>
        <v>90</v>
      </c>
      <c r="G51" s="34">
        <f>_xlfn.IFNA(VLOOKUP(TRIM(CONCATENATE(Tableau111[[#This Row],[PRENOM]],Tableau111[[#This Row],[NOM]])),'T3'!$C$6:$E$115,3,FALSE),90)</f>
        <v>90</v>
      </c>
      <c r="H51" s="34">
        <f>_xlfn.IFNA(VLOOKUP(TRIM(CONCATENATE(Tableau111[[#This Row],[PRENOM]],Tableau111[[#This Row],[NOM]])),'T4'!$C$5:$E$100,3,FALSE),90)</f>
        <v>90</v>
      </c>
      <c r="I51" s="214">
        <f>_xlfn.IFNA(VLOOKUP(TRIM(CONCATENATE(Tableau111[[#This Row],[PRENOM]],Tableau111[[#This Row],[NOM]])),'T5'!$C$5:$E$115,3,FALSE),90)</f>
        <v>72</v>
      </c>
      <c r="J51" s="222">
        <f>_xlfn.IFNA(VLOOKUP(TRIM(CONCATENATE(Tableau111[[#This Row],[PRENOM]],Tableau111[[#This Row],[NOM]])),'T6'!$C$5:$E$126,3,FALSE),90)</f>
        <v>68</v>
      </c>
      <c r="K51" s="34">
        <f>_xlfn.IFNA(VLOOKUP(TRIM(CONCATENATE(Tableau111[[#This Row],[PRENOM]],Tableau111[[#This Row],[NOM]])),'T7'!$C$5:$E$113,3,FALSE),90)</f>
        <v>90</v>
      </c>
      <c r="L51" s="35">
        <f t="shared" si="4"/>
        <v>590</v>
      </c>
      <c r="M51" s="37">
        <f t="shared" si="5"/>
        <v>90</v>
      </c>
      <c r="N51" s="38">
        <f t="shared" si="6"/>
        <v>90</v>
      </c>
      <c r="O51" s="33">
        <f t="shared" si="7"/>
        <v>410</v>
      </c>
      <c r="P51" s="33">
        <f>RANK(Tableau111[[#This Row],[SCORE
Final 
2025]],Tableau111[SCORE
Final 
2025],1)</f>
        <v>47</v>
      </c>
    </row>
    <row r="52" spans="2:16" ht="19.95" customHeight="1">
      <c r="B52" s="7" t="s">
        <v>66</v>
      </c>
      <c r="C52" s="160" t="s">
        <v>166</v>
      </c>
      <c r="D52" s="29" t="s">
        <v>17</v>
      </c>
      <c r="E52" s="34">
        <f>_xlfn.IFNA(VLOOKUP(TRIM(CONCATENATE(Tableau111[[#This Row],[PRENOM]],Tableau111[[#This Row],[NOM]])),'T1'!$C$5:$E$106,3,FALSE),90)</f>
        <v>90</v>
      </c>
      <c r="F52" s="34">
        <f>_xlfn.IFNA(VLOOKUP(TRIM(CONCATENATE(Tableau111[[#This Row],[PRENOM]],Tableau111[[#This Row],[NOM]])),'T2'!$C$5:$E$94,3,FALSE),90)</f>
        <v>90</v>
      </c>
      <c r="G52" s="34">
        <f>_xlfn.IFNA(VLOOKUP(TRIM(CONCATENATE(Tableau111[[#This Row],[PRENOM]],Tableau111[[#This Row],[NOM]])),'T3'!$C$6:$E$115,3,FALSE),90)</f>
        <v>90</v>
      </c>
      <c r="H52" s="208">
        <f>_xlfn.IFNA(VLOOKUP(TRIM(CONCATENATE(Tableau111[[#This Row],[PRENOM]],Tableau111[[#This Row],[NOM]])),'T4'!$C$5:$E$100,3,FALSE),90)</f>
        <v>74</v>
      </c>
      <c r="I52" s="34">
        <f>_xlfn.IFNA(VLOOKUP(TRIM(CONCATENATE(Tableau111[[#This Row],[PRENOM]],Tableau111[[#This Row],[NOM]])),'T5'!$C$5:$E$115,3,FALSE),90)</f>
        <v>90</v>
      </c>
      <c r="J52" s="34">
        <f>_xlfn.IFNA(VLOOKUP(TRIM(CONCATENATE(Tableau111[[#This Row],[PRENOM]],Tableau111[[#This Row],[NOM]])),'T6'!$C$5:$E$126,3,FALSE),90)</f>
        <v>90</v>
      </c>
      <c r="K52" s="185">
        <f>_xlfn.IFNA(VLOOKUP(TRIM(CONCATENATE(Tableau111[[#This Row],[PRENOM]],Tableau111[[#This Row],[NOM]])),'T7'!$C$5:$E$113,3,FALSE),90)</f>
        <v>67</v>
      </c>
      <c r="L52" s="35">
        <f t="shared" si="4"/>
        <v>591</v>
      </c>
      <c r="M52" s="37">
        <f t="shared" si="5"/>
        <v>90</v>
      </c>
      <c r="N52" s="38">
        <f t="shared" si="6"/>
        <v>90</v>
      </c>
      <c r="O52" s="33">
        <f t="shared" si="7"/>
        <v>411</v>
      </c>
      <c r="P52" s="33">
        <f>RANK(Tableau111[[#This Row],[SCORE
Final 
2025]],Tableau111[SCORE
Final 
2025],1)</f>
        <v>48</v>
      </c>
    </row>
    <row r="53" spans="2:16" ht="19.95" customHeight="1">
      <c r="B53" s="15" t="s">
        <v>158</v>
      </c>
      <c r="C53" s="15" t="s">
        <v>60</v>
      </c>
      <c r="D53" s="29" t="s">
        <v>17</v>
      </c>
      <c r="E53" s="68">
        <f>_xlfn.IFNA(VLOOKUP(TRIM(CONCATENATE(Tableau111[[#This Row],[PRENOM]],Tableau111[[#This Row],[NOM]])),'T1'!$C$5:$E$106,3,FALSE),90)</f>
        <v>90</v>
      </c>
      <c r="F53" s="68">
        <f>_xlfn.IFNA(VLOOKUP(TRIM(CONCATENATE(Tableau111[[#This Row],[PRENOM]],Tableau111[[#This Row],[NOM]])),'T2'!$C$5:$E$94,3,FALSE),90)</f>
        <v>90</v>
      </c>
      <c r="G53" s="68">
        <f>_xlfn.IFNA(VLOOKUP(TRIM(CONCATENATE(Tableau111[[#This Row],[PRENOM]],Tableau111[[#This Row],[NOM]])),'T3'!$C$6:$E$115,3,FALSE),90)</f>
        <v>90</v>
      </c>
      <c r="H53" s="68">
        <f>_xlfn.IFNA(VLOOKUP(TRIM(CONCATENATE(Tableau111[[#This Row],[PRENOM]],Tableau111[[#This Row],[NOM]])),'T4'!$C$5:$E$100,3,FALSE),90)</f>
        <v>90</v>
      </c>
      <c r="I53" s="68">
        <f>_xlfn.IFNA(VLOOKUP(TRIM(CONCATENATE(Tableau111[[#This Row],[PRENOM]],Tableau111[[#This Row],[NOM]])),'T5'!$C$5:$E$115,3,FALSE),90)</f>
        <v>90</v>
      </c>
      <c r="J53" s="224">
        <f>_xlfn.IFNA(VLOOKUP(TRIM(CONCATENATE(Tableau111[[#This Row],[PRENOM]],Tableau111[[#This Row],[NOM]])),'T6'!$C$5:$E$126,3,FALSE),90)</f>
        <v>72</v>
      </c>
      <c r="K53" s="186">
        <f>_xlfn.IFNA(VLOOKUP(TRIM(CONCATENATE(Tableau111[[#This Row],[PRENOM]],Tableau111[[#This Row],[NOM]])),'T7'!$C$5:$E$113,3,FALSE),90)</f>
        <v>70</v>
      </c>
      <c r="L53" s="72">
        <f t="shared" si="4"/>
        <v>592</v>
      </c>
      <c r="M53" s="70">
        <f t="shared" si="5"/>
        <v>90</v>
      </c>
      <c r="N53" s="71">
        <f t="shared" si="6"/>
        <v>90</v>
      </c>
      <c r="O53" s="33">
        <f t="shared" si="7"/>
        <v>412</v>
      </c>
      <c r="P53" s="33">
        <f>RANK(Tableau111[[#This Row],[SCORE
Final 
2025]],Tableau111[SCORE
Final 
2025],1)</f>
        <v>49</v>
      </c>
    </row>
    <row r="54" spans="2:16" ht="19.95" customHeight="1">
      <c r="B54" s="67" t="s">
        <v>195</v>
      </c>
      <c r="C54" s="252" t="s">
        <v>40</v>
      </c>
      <c r="D54" s="55" t="s">
        <v>24</v>
      </c>
      <c r="E54" s="186">
        <f>_xlfn.IFNA(VLOOKUP(TRIM(CONCATENATE(Tableau111[[#This Row],[PRENOM]],Tableau111[[#This Row],[NOM]])),'T1'!$C$5:$E$106,3,FALSE),90)</f>
        <v>59</v>
      </c>
      <c r="F54" s="68">
        <f>_xlfn.IFNA(VLOOKUP(TRIM(CONCATENATE(Tableau111[[#This Row],[PRENOM]],Tableau111[[#This Row],[NOM]])),'T2'!$C$5:$E$94,3,FALSE),90)</f>
        <v>90</v>
      </c>
      <c r="G54" s="68">
        <f>_xlfn.IFNA(VLOOKUP(TRIM(CONCATENATE(Tableau111[[#This Row],[PRENOM]],Tableau111[[#This Row],[NOM]])),'T3'!$C$6:$E$115,3,FALSE),90)</f>
        <v>90</v>
      </c>
      <c r="H54" s="68">
        <f>_xlfn.IFNA(VLOOKUP(TRIM(CONCATENATE(Tableau111[[#This Row],[PRENOM]],Tableau111[[#This Row],[NOM]])),'T4'!$C$5:$E$100,3,FALSE),90)</f>
        <v>90</v>
      </c>
      <c r="I54" s="68">
        <f>_xlfn.IFNA(VLOOKUP(TRIM(CONCATENATE(Tableau111[[#This Row],[PRENOM]],Tableau111[[#This Row],[NOM]])),'T5'!$C$5:$E$115,3,FALSE),90)</f>
        <v>90</v>
      </c>
      <c r="J54" s="68">
        <f>_xlfn.IFNA(VLOOKUP(TRIM(CONCATENATE(Tableau111[[#This Row],[PRENOM]],Tableau111[[#This Row],[NOM]])),'T6'!$C$5:$E$126,3,FALSE),90)</f>
        <v>90</v>
      </c>
      <c r="K54" s="68">
        <f>_xlfn.IFNA(VLOOKUP(TRIM(CONCATENATE(Tableau111[[#This Row],[PRENOM]],Tableau111[[#This Row],[NOM]])),'T7'!$C$5:$E$113,3,FALSE),90)</f>
        <v>90</v>
      </c>
      <c r="L54" s="183">
        <f t="shared" si="4"/>
        <v>599</v>
      </c>
      <c r="M54" s="179">
        <f t="shared" si="5"/>
        <v>90</v>
      </c>
      <c r="N54" s="180">
        <f t="shared" si="6"/>
        <v>90</v>
      </c>
      <c r="O54" s="181">
        <f t="shared" si="7"/>
        <v>419</v>
      </c>
      <c r="P54" s="181">
        <f>RANK(Tableau111[[#This Row],[SCORE
Final 
2025]],Tableau111[SCORE
Final 
2025],1)</f>
        <v>50</v>
      </c>
    </row>
    <row r="55" spans="2:16" ht="19.95" customHeight="1">
      <c r="B55" s="7" t="s">
        <v>100</v>
      </c>
      <c r="C55" s="15" t="s">
        <v>101</v>
      </c>
      <c r="D55" s="29" t="s">
        <v>17</v>
      </c>
      <c r="E55" s="68">
        <f>_xlfn.IFNA(VLOOKUP(TRIM(CONCATENATE(Tableau111[[#This Row],[PRENOM]],Tableau111[[#This Row],[NOM]])),'T1'!$C$5:$E$106,3,FALSE),90)</f>
        <v>90</v>
      </c>
      <c r="F55" s="68">
        <f>_xlfn.IFNA(VLOOKUP(TRIM(CONCATENATE(Tableau111[[#This Row],[PRENOM]],Tableau111[[#This Row],[NOM]])),'T2'!$C$5:$E$94,3,FALSE),90)</f>
        <v>90</v>
      </c>
      <c r="G55" s="68">
        <f>_xlfn.IFNA(VLOOKUP(TRIM(CONCATENATE(Tableau111[[#This Row],[PRENOM]],Tableau111[[#This Row],[NOM]])),'T3'!$C$6:$E$115,3,FALSE),90)</f>
        <v>90</v>
      </c>
      <c r="H55" s="68">
        <f>_xlfn.IFNA(VLOOKUP(TRIM(CONCATENATE(Tableau111[[#This Row],[PRENOM]],Tableau111[[#This Row],[NOM]])),'T4'!$C$5:$E$100,3,FALSE),90)</f>
        <v>90</v>
      </c>
      <c r="I55" s="68">
        <f>_xlfn.IFNA(VLOOKUP(TRIM(CONCATENATE(Tableau111[[#This Row],[PRENOM]],Tableau111[[#This Row],[NOM]])),'T5'!$C$5:$E$115,3,FALSE),90)</f>
        <v>90</v>
      </c>
      <c r="J55" s="224">
        <f>_xlfn.IFNA(VLOOKUP(TRIM(CONCATENATE(Tableau111[[#This Row],[PRENOM]],Tableau111[[#This Row],[NOM]])),'T6'!$C$5:$E$126,3,FALSE),90)</f>
        <v>76</v>
      </c>
      <c r="K55" s="186">
        <f>_xlfn.IFNA(VLOOKUP(TRIM(CONCATENATE(Tableau111[[#This Row],[PRENOM]],Tableau111[[#This Row],[NOM]])),'T7'!$C$5:$E$113,3,FALSE),90)</f>
        <v>74</v>
      </c>
      <c r="L55" s="72">
        <f t="shared" si="4"/>
        <v>600</v>
      </c>
      <c r="M55" s="70">
        <f t="shared" si="5"/>
        <v>90</v>
      </c>
      <c r="N55" s="71">
        <f t="shared" si="6"/>
        <v>90</v>
      </c>
      <c r="O55" s="33">
        <f t="shared" si="7"/>
        <v>420</v>
      </c>
      <c r="P55" s="33">
        <f>RANK(Tableau111[[#This Row],[SCORE
Final 
2025]],Tableau111[SCORE
Final 
2025],1)</f>
        <v>51</v>
      </c>
    </row>
    <row r="56" spans="2:16" ht="19.95" customHeight="1">
      <c r="B56" s="7" t="s">
        <v>38</v>
      </c>
      <c r="C56" s="7" t="s">
        <v>39</v>
      </c>
      <c r="D56" s="29" t="s">
        <v>17</v>
      </c>
      <c r="E56" s="34">
        <f>_xlfn.IFNA(VLOOKUP(TRIM(CONCATENATE(Tableau111[[#This Row],[PRENOM]],Tableau111[[#This Row],[NOM]])),'T1'!$C$5:$E$106,3,FALSE),90)</f>
        <v>90</v>
      </c>
      <c r="F56" s="34">
        <f>_xlfn.IFNA(VLOOKUP(TRIM(CONCATENATE(Tableau111[[#This Row],[PRENOM]],Tableau111[[#This Row],[NOM]])),'T2'!$C$5:$E$94,3,FALSE),90)</f>
        <v>90</v>
      </c>
      <c r="G56" s="34">
        <f>_xlfn.IFNA(VLOOKUP(TRIM(CONCATENATE(Tableau111[[#This Row],[PRENOM]],Tableau111[[#This Row],[NOM]])),'T3'!$C$6:$E$115,3,FALSE),90)</f>
        <v>90</v>
      </c>
      <c r="H56" s="34">
        <f>_xlfn.IFNA(VLOOKUP(TRIM(CONCATENATE(Tableau111[[#This Row],[PRENOM]],Tableau111[[#This Row],[NOM]])),'T4'!$C$5:$E$100,3,FALSE),90)</f>
        <v>90</v>
      </c>
      <c r="I56" s="34">
        <f>_xlfn.IFNA(VLOOKUP(TRIM(CONCATENATE(Tableau111[[#This Row],[PRENOM]],Tableau111[[#This Row],[NOM]])),'T5'!$C$5:$E$115,3,FALSE),90)</f>
        <v>90</v>
      </c>
      <c r="J56" s="222">
        <f>_xlfn.IFNA(VLOOKUP(TRIM(CONCATENATE(Tableau111[[#This Row],[PRENOM]],Tableau111[[#This Row],[NOM]])),'T6'!$C$5:$E$126,3,FALSE),90)</f>
        <v>81</v>
      </c>
      <c r="K56" s="185">
        <f>_xlfn.IFNA(VLOOKUP(TRIM(CONCATENATE(Tableau111[[#This Row],[PRENOM]],Tableau111[[#This Row],[NOM]])),'T7'!$C$5:$E$113,3,FALSE),90)</f>
        <v>71</v>
      </c>
      <c r="L56" s="35">
        <f t="shared" si="4"/>
        <v>602</v>
      </c>
      <c r="M56" s="37">
        <f t="shared" si="5"/>
        <v>90</v>
      </c>
      <c r="N56" s="38">
        <f t="shared" si="6"/>
        <v>90</v>
      </c>
      <c r="O56" s="33">
        <f t="shared" si="7"/>
        <v>422</v>
      </c>
      <c r="P56" s="33">
        <f>RANK(Tableau111[[#This Row],[SCORE
Final 
2025]],Tableau111[SCORE
Final 
2025],1)</f>
        <v>52</v>
      </c>
    </row>
    <row r="57" spans="2:16" ht="19.95" customHeight="1">
      <c r="B57" s="67" t="s">
        <v>220</v>
      </c>
      <c r="C57" s="67" t="s">
        <v>221</v>
      </c>
      <c r="D57" s="55" t="s">
        <v>24</v>
      </c>
      <c r="E57" s="34">
        <f>_xlfn.IFNA(VLOOKUP(TRIM(CONCATENATE(Tableau111[[#This Row],[PRENOM]],Tableau111[[#This Row],[NOM]])),'T1'!$C$5:$E$106,3,FALSE),90)</f>
        <v>90</v>
      </c>
      <c r="F57" s="34">
        <f>_xlfn.IFNA(VLOOKUP(TRIM(CONCATENATE(Tableau111[[#This Row],[PRENOM]],Tableau111[[#This Row],[NOM]])),'T2'!$C$5:$E$94,3,FALSE),90)</f>
        <v>90</v>
      </c>
      <c r="G57" s="34">
        <f>_xlfn.IFNA(VLOOKUP(TRIM(CONCATENATE(Tableau111[[#This Row],[PRENOM]],Tableau111[[#This Row],[NOM]])),'T3'!$C$6:$E$115,3,FALSE),90)</f>
        <v>90</v>
      </c>
      <c r="H57" s="34">
        <f>_xlfn.IFNA(VLOOKUP(TRIM(CONCATENATE(Tableau111[[#This Row],[PRENOM]],Tableau111[[#This Row],[NOM]])),'T4'!$C$5:$E$100,3,FALSE),90)</f>
        <v>90</v>
      </c>
      <c r="I57" s="34">
        <f>_xlfn.IFNA(VLOOKUP(TRIM(CONCATENATE(Tableau111[[#This Row],[PRENOM]],Tableau111[[#This Row],[NOM]])),'T5'!$C$5:$E$115,3,FALSE),90)</f>
        <v>90</v>
      </c>
      <c r="J57" s="222">
        <f>_xlfn.IFNA(VLOOKUP(TRIM(CONCATENATE(Tableau111[[#This Row],[PRENOM]],Tableau111[[#This Row],[NOM]])),'T6'!$C$5:$E$126,3,FALSE),90)</f>
        <v>64</v>
      </c>
      <c r="K57" s="34">
        <f>_xlfn.IFNA(VLOOKUP(TRIM(CONCATENATE(Tableau111[[#This Row],[PRENOM]],Tableau111[[#This Row],[NOM]])),'T7'!$C$5:$E$113,3,FALSE),90)</f>
        <v>90</v>
      </c>
      <c r="L57" s="35">
        <f t="shared" si="4"/>
        <v>604</v>
      </c>
      <c r="M57" s="37">
        <f t="shared" si="5"/>
        <v>90</v>
      </c>
      <c r="N57" s="38">
        <f t="shared" si="6"/>
        <v>90</v>
      </c>
      <c r="O57" s="33">
        <f t="shared" si="7"/>
        <v>424</v>
      </c>
      <c r="P57" s="33">
        <f>RANK(Tableau111[[#This Row],[SCORE
Final 
2025]],Tableau111[SCORE
Final 
2025],1)</f>
        <v>53</v>
      </c>
    </row>
    <row r="58" spans="2:16" ht="19.95" customHeight="1">
      <c r="B58" s="7" t="s">
        <v>191</v>
      </c>
      <c r="C58" s="251" t="s">
        <v>68</v>
      </c>
      <c r="D58" s="29" t="s">
        <v>17</v>
      </c>
      <c r="E58" s="186">
        <f>_xlfn.IFNA(VLOOKUP(TRIM(CONCATENATE(Tableau111[[#This Row],[PRENOM]],Tableau111[[#This Row],[NOM]])),'T1'!$C$5:$E$106,3,FALSE),90)</f>
        <v>64</v>
      </c>
      <c r="F58" s="68">
        <f>_xlfn.IFNA(VLOOKUP(TRIM(CONCATENATE(Tableau111[[#This Row],[PRENOM]],Tableau111[[#This Row],[NOM]])),'T2'!$C$5:$E$94,3,FALSE),90)</f>
        <v>90</v>
      </c>
      <c r="G58" s="68">
        <f>_xlfn.IFNA(VLOOKUP(TRIM(CONCATENATE(Tableau111[[#This Row],[PRENOM]],Tableau111[[#This Row],[NOM]])),'T3'!$C$6:$E$115,3,FALSE),90)</f>
        <v>90</v>
      </c>
      <c r="H58" s="68">
        <f>_xlfn.IFNA(VLOOKUP(TRIM(CONCATENATE(Tableau111[[#This Row],[PRENOM]],Tableau111[[#This Row],[NOM]])),'T4'!$C$5:$E$100,3,FALSE),90)</f>
        <v>90</v>
      </c>
      <c r="I58" s="68">
        <f>_xlfn.IFNA(VLOOKUP(TRIM(CONCATENATE(Tableau111[[#This Row],[PRENOM]],Tableau111[[#This Row],[NOM]])),'T5'!$C$5:$E$115,3,FALSE),90)</f>
        <v>90</v>
      </c>
      <c r="J58" s="68">
        <f>_xlfn.IFNA(VLOOKUP(TRIM(CONCATENATE(Tableau111[[#This Row],[PRENOM]],Tableau111[[#This Row],[NOM]])),'T6'!$C$5:$E$126,3,FALSE),90)</f>
        <v>90</v>
      </c>
      <c r="K58" s="68">
        <f>_xlfn.IFNA(VLOOKUP(TRIM(CONCATENATE(Tableau111[[#This Row],[PRENOM]],Tableau111[[#This Row],[NOM]])),'T7'!$C$5:$E$113,3,FALSE),90)</f>
        <v>90</v>
      </c>
      <c r="L58" s="183">
        <f t="shared" si="4"/>
        <v>604</v>
      </c>
      <c r="M58" s="179">
        <f t="shared" si="5"/>
        <v>90</v>
      </c>
      <c r="N58" s="180">
        <f t="shared" si="6"/>
        <v>90</v>
      </c>
      <c r="O58" s="181">
        <f t="shared" si="7"/>
        <v>424</v>
      </c>
      <c r="P58" s="181">
        <f>RANK(Tableau111[[#This Row],[SCORE
Final 
2025]],Tableau111[SCORE
Final 
2025],1)</f>
        <v>53</v>
      </c>
    </row>
    <row r="59" spans="2:16" ht="19.95" customHeight="1">
      <c r="B59" s="15" t="s">
        <v>35</v>
      </c>
      <c r="C59" s="15" t="s">
        <v>36</v>
      </c>
      <c r="D59" s="30" t="s">
        <v>8</v>
      </c>
      <c r="E59" s="68">
        <f>_xlfn.IFNA(VLOOKUP(TRIM(CONCATENATE(Tableau111[[#This Row],[PRENOM]],Tableau111[[#This Row],[NOM]])),'T1'!$C$5:$E$106,3,FALSE),90)</f>
        <v>90</v>
      </c>
      <c r="F59" s="199">
        <f>_xlfn.IFNA(VLOOKUP(TRIM(CONCATENATE(Tableau111[[#This Row],[PRENOM]],Tableau111[[#This Row],[NOM]])),'T2'!$C$5:$E$94,3,FALSE),90)</f>
        <v>67</v>
      </c>
      <c r="G59" s="68">
        <f>_xlfn.IFNA(VLOOKUP(TRIM(CONCATENATE(Tableau111[[#This Row],[PRENOM]],Tableau111[[#This Row],[NOM]])),'T3'!$C$6:$E$115,3,FALSE),90)</f>
        <v>90</v>
      </c>
      <c r="H59" s="68">
        <f>_xlfn.IFNA(VLOOKUP(TRIM(CONCATENATE(Tableau111[[#This Row],[PRENOM]],Tableau111[[#This Row],[NOM]])),'T4'!$C$5:$E$100,3,FALSE),90)</f>
        <v>90</v>
      </c>
      <c r="I59" s="68">
        <f>_xlfn.IFNA(VLOOKUP(TRIM(CONCATENATE(Tableau111[[#This Row],[PRENOM]],Tableau111[[#This Row],[NOM]])),'T5'!$C$5:$E$115,3,FALSE),90)</f>
        <v>90</v>
      </c>
      <c r="J59" s="68">
        <f>_xlfn.IFNA(VLOOKUP(TRIM(CONCATENATE(Tableau111[[#This Row],[PRENOM]],Tableau111[[#This Row],[NOM]])),'T6'!$C$5:$E$126,3,FALSE),90)</f>
        <v>90</v>
      </c>
      <c r="K59" s="68">
        <f>_xlfn.IFNA(VLOOKUP(TRIM(CONCATENATE(Tableau111[[#This Row],[PRENOM]],Tableau111[[#This Row],[NOM]])),'T7'!$C$5:$E$113,3,FALSE),90)</f>
        <v>90</v>
      </c>
      <c r="L59" s="72">
        <f t="shared" si="4"/>
        <v>607</v>
      </c>
      <c r="M59" s="70">
        <f t="shared" si="5"/>
        <v>90</v>
      </c>
      <c r="N59" s="71">
        <f t="shared" si="6"/>
        <v>90</v>
      </c>
      <c r="O59" s="33">
        <f t="shared" si="7"/>
        <v>427</v>
      </c>
      <c r="P59" s="33">
        <f>RANK(Tableau111[[#This Row],[SCORE
Final 
2025]],Tableau111[SCORE
Final 
2025],1)</f>
        <v>55</v>
      </c>
    </row>
    <row r="60" spans="2:16" ht="19.95" customHeight="1">
      <c r="B60" s="67" t="s">
        <v>201</v>
      </c>
      <c r="C60" s="67" t="s">
        <v>33</v>
      </c>
      <c r="D60" s="29" t="s">
        <v>17</v>
      </c>
      <c r="E60" s="185">
        <f>_xlfn.IFNA(VLOOKUP(TRIM(CONCATENATE(Tableau111[[#This Row],[PRENOM]],Tableau111[[#This Row],[NOM]])),'T1'!$C$5:$E$106,3,FALSE),90)</f>
        <v>90</v>
      </c>
      <c r="F60" s="198">
        <f>_xlfn.IFNA(VLOOKUP(TRIM(CONCATENATE(Tableau111[[#This Row],[PRENOM]],Tableau111[[#This Row],[NOM]])),'T2'!$C$5:$E$94,3,FALSE),90)</f>
        <v>85</v>
      </c>
      <c r="G60" s="34">
        <f>_xlfn.IFNA(VLOOKUP(TRIM(CONCATENATE(Tableau111[[#This Row],[PRENOM]],Tableau111[[#This Row],[NOM]])),'T3'!$C$6:$E$115,3,FALSE),90)</f>
        <v>90</v>
      </c>
      <c r="H60" s="208">
        <f>_xlfn.IFNA(VLOOKUP(TRIM(CONCATENATE(Tableau111[[#This Row],[PRENOM]],Tableau111[[#This Row],[NOM]])),'T4'!$C$5:$E$100,3,FALSE),90)</f>
        <v>73</v>
      </c>
      <c r="I60" s="34">
        <f>_xlfn.IFNA(VLOOKUP(TRIM(CONCATENATE(Tableau111[[#This Row],[PRENOM]],Tableau111[[#This Row],[NOM]])),'T5'!$C$5:$E$115,3,FALSE),90)</f>
        <v>90</v>
      </c>
      <c r="J60" s="34">
        <f>_xlfn.IFNA(VLOOKUP(TRIM(CONCATENATE(Tableau111[[#This Row],[PRENOM]],Tableau111[[#This Row],[NOM]])),'T6'!$C$5:$E$126,3,FALSE),90)</f>
        <v>90</v>
      </c>
      <c r="K60" s="34">
        <f>_xlfn.IFNA(VLOOKUP(TRIM(CONCATENATE(Tableau111[[#This Row],[PRENOM]],Tableau111[[#This Row],[NOM]])),'T7'!$C$5:$E$113,3,FALSE),90)</f>
        <v>90</v>
      </c>
      <c r="L60" s="35">
        <f t="shared" si="4"/>
        <v>608</v>
      </c>
      <c r="M60" s="37">
        <f t="shared" si="5"/>
        <v>90</v>
      </c>
      <c r="N60" s="38">
        <f t="shared" si="6"/>
        <v>90</v>
      </c>
      <c r="O60" s="33">
        <f t="shared" si="7"/>
        <v>428</v>
      </c>
      <c r="P60" s="33">
        <f>RANK(Tableau111[[#This Row],[SCORE
Final 
2025]],Tableau111[SCORE
Final 
2025],1)</f>
        <v>56</v>
      </c>
    </row>
    <row r="61" spans="2:16" ht="19.95" customHeight="1">
      <c r="B61" s="7" t="s">
        <v>108</v>
      </c>
      <c r="C61" s="7" t="s">
        <v>109</v>
      </c>
      <c r="D61" s="26" t="s">
        <v>107</v>
      </c>
      <c r="E61" s="34">
        <f>_xlfn.IFNA(VLOOKUP(TRIM(CONCATENATE(Tableau111[[#This Row],[PRENOM]],Tableau111[[#This Row],[NOM]])),'T1'!$C$5:$E$106,3,FALSE),90)</f>
        <v>90</v>
      </c>
      <c r="F61" s="34">
        <f>_xlfn.IFNA(VLOOKUP(TRIM(CONCATENATE(Tableau111[[#This Row],[PRENOM]],Tableau111[[#This Row],[NOM]])),'T2'!$C$5:$E$94,3,FALSE),90)</f>
        <v>90</v>
      </c>
      <c r="G61" s="34">
        <f>_xlfn.IFNA(VLOOKUP(TRIM(CONCATENATE(Tableau111[[#This Row],[PRENOM]],Tableau111[[#This Row],[NOM]])),'T3'!$C$6:$E$115,3,FALSE),90)</f>
        <v>90</v>
      </c>
      <c r="H61" s="34">
        <f>_xlfn.IFNA(VLOOKUP(TRIM(CONCATENATE(Tableau111[[#This Row],[PRENOM]],Tableau111[[#This Row],[NOM]])),'T4'!$C$5:$E$100,3,FALSE),90)</f>
        <v>90</v>
      </c>
      <c r="I61" s="214">
        <f>_xlfn.IFNA(VLOOKUP(TRIM(CONCATENATE(Tableau111[[#This Row],[PRENOM]],Tableau111[[#This Row],[NOM]])),'T5'!$C$5:$E$115,3,FALSE),90)</f>
        <v>71</v>
      </c>
      <c r="J61" s="34">
        <f>_xlfn.IFNA(VLOOKUP(TRIM(CONCATENATE(Tableau111[[#This Row],[PRENOM]],Tableau111[[#This Row],[NOM]])),'T6'!$C$5:$E$126,3,FALSE),90)</f>
        <v>90</v>
      </c>
      <c r="K61" s="34">
        <f>_xlfn.IFNA(VLOOKUP(TRIM(CONCATENATE(Tableau111[[#This Row],[PRENOM]],Tableau111[[#This Row],[NOM]])),'T7'!$C$5:$E$113,3,FALSE),90)</f>
        <v>90</v>
      </c>
      <c r="L61" s="35">
        <f t="shared" si="4"/>
        <v>611</v>
      </c>
      <c r="M61" s="37">
        <f t="shared" si="5"/>
        <v>90</v>
      </c>
      <c r="N61" s="38">
        <f t="shared" si="6"/>
        <v>90</v>
      </c>
      <c r="O61" s="33">
        <f t="shared" si="7"/>
        <v>431</v>
      </c>
      <c r="P61" s="33">
        <f>RANK(Tableau111[[#This Row],[SCORE
Final 
2025]],Tableau111[SCORE
Final 
2025],1)</f>
        <v>57</v>
      </c>
    </row>
    <row r="62" spans="2:16" ht="19.95" customHeight="1">
      <c r="B62" s="7" t="s">
        <v>231</v>
      </c>
      <c r="C62" s="7" t="s">
        <v>36</v>
      </c>
      <c r="D62" s="26" t="s">
        <v>107</v>
      </c>
      <c r="E62" s="185">
        <f>_xlfn.IFNA(VLOOKUP(TRIM(CONCATENATE(Tableau111[[#This Row],[PRENOM]],Tableau111[[#This Row],[NOM]])),'T1'!$C$5:$E$106,3,FALSE),90)</f>
        <v>90</v>
      </c>
      <c r="F62" s="34">
        <f>_xlfn.IFNA(VLOOKUP(TRIM(CONCATENATE(Tableau111[[#This Row],[PRENOM]],Tableau111[[#This Row],[NOM]])),'T2'!$C$5:$E$94,3,FALSE),90)</f>
        <v>90</v>
      </c>
      <c r="G62" s="203">
        <f>_xlfn.IFNA(VLOOKUP(TRIM(CONCATENATE(Tableau111[[#This Row],[PRENOM]],Tableau111[[#This Row],[NOM]])),'T3'!$C$6:$E$115,3,FALSE),90)</f>
        <v>90</v>
      </c>
      <c r="H62" s="34">
        <f>_xlfn.IFNA(VLOOKUP(TRIM(CONCATENATE(Tableau111[[#This Row],[PRENOM]],Tableau111[[#This Row],[NOM]])),'T4'!$C$5:$E$100,3,FALSE),90)</f>
        <v>90</v>
      </c>
      <c r="I62" s="214">
        <f>_xlfn.IFNA(VLOOKUP(TRIM(CONCATENATE(Tableau111[[#This Row],[PRENOM]],Tableau111[[#This Row],[NOM]])),'T5'!$C$5:$E$115,3,FALSE),90)</f>
        <v>90</v>
      </c>
      <c r="J62" s="222">
        <f>_xlfn.IFNA(VLOOKUP(TRIM(CONCATENATE(Tableau111[[#This Row],[PRENOM]],Tableau111[[#This Row],[NOM]])),'T6'!$C$5:$E$126,3,FALSE),90)</f>
        <v>90</v>
      </c>
      <c r="K62" s="185">
        <f>_xlfn.IFNA(VLOOKUP(TRIM(CONCATENATE(Tableau111[[#This Row],[PRENOM]],Tableau111[[#This Row],[NOM]])),'T7'!$C$5:$E$113,3,FALSE),90)</f>
        <v>76</v>
      </c>
      <c r="L62" s="35">
        <f t="shared" si="4"/>
        <v>616</v>
      </c>
      <c r="M62" s="37">
        <f t="shared" si="5"/>
        <v>90</v>
      </c>
      <c r="N62" s="38">
        <f t="shared" si="6"/>
        <v>90</v>
      </c>
      <c r="O62" s="33">
        <f t="shared" si="7"/>
        <v>436</v>
      </c>
      <c r="P62" s="33">
        <f>RANK(Tableau111[[#This Row],[SCORE
Final 
2025]],Tableau111[SCORE
Final 
2025],1)</f>
        <v>58</v>
      </c>
    </row>
    <row r="63" spans="2:16" ht="19.95" customHeight="1">
      <c r="B63" s="7" t="s">
        <v>172</v>
      </c>
      <c r="C63" s="7" t="s">
        <v>173</v>
      </c>
      <c r="D63" s="30" t="s">
        <v>8</v>
      </c>
      <c r="E63" s="34">
        <f>_xlfn.IFNA(VLOOKUP(TRIM(CONCATENATE(Tableau111[[#This Row],[PRENOM]],Tableau111[[#This Row],[NOM]])),'T1'!$C$5:$E$106,3,FALSE),90)</f>
        <v>90</v>
      </c>
      <c r="F63" s="34">
        <f>_xlfn.IFNA(VLOOKUP(TRIM(CONCATENATE(Tableau111[[#This Row],[PRENOM]],Tableau111[[#This Row],[NOM]])),'T2'!$C$5:$E$94,3,FALSE),90)</f>
        <v>90</v>
      </c>
      <c r="G63" s="34">
        <f>_xlfn.IFNA(VLOOKUP(TRIM(CONCATENATE(Tableau111[[#This Row],[PRENOM]],Tableau111[[#This Row],[NOM]])),'T3'!$C$6:$E$115,3,FALSE),90)</f>
        <v>90</v>
      </c>
      <c r="H63" s="34">
        <f>_xlfn.IFNA(VLOOKUP(TRIM(CONCATENATE(Tableau111[[#This Row],[PRENOM]],Tableau111[[#This Row],[NOM]])),'T4'!$C$5:$E$100,3,FALSE),90)</f>
        <v>90</v>
      </c>
      <c r="I63" s="214">
        <f>_xlfn.IFNA(VLOOKUP(TRIM(CONCATENATE(Tableau111[[#This Row],[PRENOM]],Tableau111[[#This Row],[NOM]])),'T5'!$C$5:$E$115,3,FALSE),90)</f>
        <v>78</v>
      </c>
      <c r="J63" s="34">
        <f>_xlfn.IFNA(VLOOKUP(TRIM(CONCATENATE(Tableau111[[#This Row],[PRENOM]],Tableau111[[#This Row],[NOM]])),'T6'!$C$5:$E$126,3,FALSE),90)</f>
        <v>90</v>
      </c>
      <c r="K63" s="34">
        <f>_xlfn.IFNA(VLOOKUP(TRIM(CONCATENATE(Tableau111[[#This Row],[PRENOM]],Tableau111[[#This Row],[NOM]])),'T7'!$C$5:$E$113,3,FALSE),90)</f>
        <v>90</v>
      </c>
      <c r="L63" s="35">
        <f t="shared" si="4"/>
        <v>618</v>
      </c>
      <c r="M63" s="37">
        <f t="shared" si="5"/>
        <v>90</v>
      </c>
      <c r="N63" s="38">
        <f t="shared" si="6"/>
        <v>90</v>
      </c>
      <c r="O63" s="33">
        <f t="shared" si="7"/>
        <v>438</v>
      </c>
      <c r="P63" s="33">
        <f>RANK(Tableau111[[#This Row],[SCORE
Final 
2025]],Tableau111[SCORE
Final 
2025],1)</f>
        <v>59</v>
      </c>
    </row>
    <row r="64" spans="2:16" ht="19.95" customHeight="1">
      <c r="B64" s="15" t="s">
        <v>154</v>
      </c>
      <c r="C64" s="15" t="s">
        <v>16</v>
      </c>
      <c r="D64" s="29" t="s">
        <v>17</v>
      </c>
      <c r="E64" s="68">
        <f>_xlfn.IFNA(VLOOKUP(TRIM(CONCATENATE(Tableau111[[#This Row],[PRENOM]],Tableau111[[#This Row],[NOM]])),'T1'!$C$5:$E$106,3,FALSE),90)</f>
        <v>90</v>
      </c>
      <c r="F64" s="68">
        <f>_xlfn.IFNA(VLOOKUP(TRIM(CONCATENATE(Tableau111[[#This Row],[PRENOM]],Tableau111[[#This Row],[NOM]])),'T2'!$C$5:$E$94,3,FALSE),90)</f>
        <v>90</v>
      </c>
      <c r="G64" s="68">
        <f>_xlfn.IFNA(VLOOKUP(TRIM(CONCATENATE(Tableau111[[#This Row],[PRENOM]],Tableau111[[#This Row],[NOM]])),'T3'!$C$6:$E$115,3,FALSE),90)</f>
        <v>90</v>
      </c>
      <c r="H64" s="68">
        <f>_xlfn.IFNA(VLOOKUP(TRIM(CONCATENATE(Tableau111[[#This Row],[PRENOM]],Tableau111[[#This Row],[NOM]])),'T4'!$C$5:$E$100,3,FALSE),90)</f>
        <v>90</v>
      </c>
      <c r="I64" s="68">
        <f>_xlfn.IFNA(VLOOKUP(TRIM(CONCATENATE(Tableau111[[#This Row],[PRENOM]],Tableau111[[#This Row],[NOM]])),'T5'!$C$5:$E$115,3,FALSE),90)</f>
        <v>90</v>
      </c>
      <c r="J64" s="224">
        <f>_xlfn.IFNA(VLOOKUP(TRIM(CONCATENATE(Tableau111[[#This Row],[PRENOM]],Tableau111[[#This Row],[NOM]])),'T6'!$C$5:$E$126,3,FALSE),90)</f>
        <v>78</v>
      </c>
      <c r="K64" s="68">
        <f>_xlfn.IFNA(VLOOKUP(TRIM(CONCATENATE(Tableau111[[#This Row],[PRENOM]],Tableau111[[#This Row],[NOM]])),'T7'!$C$5:$E$113,3,FALSE),90)</f>
        <v>90</v>
      </c>
      <c r="L64" s="72">
        <f t="shared" si="4"/>
        <v>618</v>
      </c>
      <c r="M64" s="70">
        <f t="shared" si="5"/>
        <v>90</v>
      </c>
      <c r="N64" s="71">
        <f t="shared" si="6"/>
        <v>90</v>
      </c>
      <c r="O64" s="33">
        <f t="shared" si="7"/>
        <v>438</v>
      </c>
      <c r="P64" s="33">
        <f>RANK(Tableau111[[#This Row],[SCORE
Final 
2025]],Tableau111[SCORE
Final 
2025],1)</f>
        <v>59</v>
      </c>
    </row>
    <row r="65" spans="1:17" ht="20.399999999999999" thickBot="1">
      <c r="A65" s="1"/>
      <c r="B65" s="2"/>
      <c r="C65" s="2"/>
      <c r="D65" s="2"/>
      <c r="E65" s="3"/>
      <c r="F65" s="3"/>
      <c r="G65" s="4"/>
      <c r="H65" s="4"/>
      <c r="I65" s="4"/>
      <c r="J65" s="3"/>
      <c r="K65" s="4"/>
      <c r="L65" s="4"/>
      <c r="M65" s="4"/>
      <c r="N65" s="1"/>
      <c r="O65" s="1"/>
    </row>
    <row r="66" spans="1:17" ht="63.75" customHeight="1" thickBot="1">
      <c r="B66" s="45" t="s">
        <v>46</v>
      </c>
      <c r="C66" s="43"/>
      <c r="D66" s="44"/>
      <c r="E66" s="19" t="s">
        <v>2</v>
      </c>
      <c r="F66" s="19" t="s">
        <v>3</v>
      </c>
      <c r="G66" s="8" t="s">
        <v>4</v>
      </c>
      <c r="H66" s="8" t="s">
        <v>5</v>
      </c>
      <c r="I66" s="8" t="s">
        <v>61</v>
      </c>
      <c r="J66" s="8" t="s">
        <v>75</v>
      </c>
      <c r="K66" s="8" t="s">
        <v>76</v>
      </c>
      <c r="L66"/>
      <c r="M66"/>
      <c r="N66"/>
      <c r="O66"/>
    </row>
    <row r="67" spans="1:17" ht="76.95" customHeight="1" thickBot="1">
      <c r="B67" s="53" t="s">
        <v>69</v>
      </c>
      <c r="C67" s="47" t="s">
        <v>70</v>
      </c>
      <c r="D67" s="48" t="s">
        <v>71</v>
      </c>
      <c r="E67" s="49" t="s">
        <v>177</v>
      </c>
      <c r="F67" s="49" t="s">
        <v>178</v>
      </c>
      <c r="G67" s="49" t="s">
        <v>179</v>
      </c>
      <c r="H67" s="49" t="s">
        <v>180</v>
      </c>
      <c r="I67" s="49" t="s">
        <v>181</v>
      </c>
      <c r="J67" s="49" t="s">
        <v>182</v>
      </c>
      <c r="K67" s="49" t="s">
        <v>183</v>
      </c>
      <c r="L67" s="50" t="s">
        <v>0</v>
      </c>
      <c r="M67" s="51" t="s">
        <v>98</v>
      </c>
      <c r="N67" s="51" t="s">
        <v>99</v>
      </c>
      <c r="O67" s="52" t="s">
        <v>106</v>
      </c>
      <c r="P67" s="59" t="s">
        <v>121</v>
      </c>
      <c r="Q67" s="212" t="s">
        <v>215</v>
      </c>
    </row>
    <row r="68" spans="1:17" ht="21" customHeight="1">
      <c r="B68" s="120" t="s">
        <v>79</v>
      </c>
      <c r="C68" s="67" t="s">
        <v>50</v>
      </c>
      <c r="D68" s="24" t="s">
        <v>17</v>
      </c>
      <c r="E68" s="186">
        <f>_xlfn.IFNA(VLOOKUP(TRIM(CONCATENATE(Tableau262[[#This Row],[PRENOM]],Tableau262[[#This Row],[NOM]])),'T1'!$C$5:$E$106,3,FALSE),90)</f>
        <v>67</v>
      </c>
      <c r="F68" s="200">
        <f>_xlfn.IFNA(VLOOKUP(TRIM(CONCATENATE(Tableau262[[#This Row],[PRENOM]],Tableau262[[#This Row],[NOM]])),'T2'!$C$5:$E$94,3,FALSE),90)</f>
        <v>71</v>
      </c>
      <c r="G68" s="204">
        <f>_xlfn.IFNA(VLOOKUP(TRIM(CONCATENATE(Tableau262[[#This Row],[PRENOM]],Tableau262[[#This Row],[NOM]])),'T3'!$C$6:$E$115,3,FALSE),90)</f>
        <v>78</v>
      </c>
      <c r="H68" s="209">
        <f>_xlfn.IFNA(VLOOKUP(TRIM(CONCATENATE(Tableau262[[#This Row],[PRENOM]],Tableau262[[#This Row],[NOM]])),'T4'!$C$5:$E$100,3,FALSE),90)</f>
        <v>69</v>
      </c>
      <c r="I68" s="215">
        <f>_xlfn.IFNA(VLOOKUP(TRIM(CONCATENATE(Tableau262[[#This Row],[PRENOM]],Tableau262[[#This Row],[NOM]])),'T5'!$C$5:$E$115,3,FALSE),90)</f>
        <v>76</v>
      </c>
      <c r="J68" s="224">
        <f>_xlfn.IFNA(VLOOKUP(TRIM(CONCATENATE(Tableau262[[#This Row],[PRENOM]],Tableau262[[#This Row],[NOM]])),'T6'!$C$5:$E$126,3,FALSE),90)</f>
        <v>69</v>
      </c>
      <c r="K68" s="186">
        <f>_xlfn.IFNA(VLOOKUP(TRIM(CONCATENATE(Tableau262[[#This Row],[PRENOM]],Tableau262[[#This Row],[NOM]])),'T7'!$C$5:$E$113,3,FALSE),90)</f>
        <v>67</v>
      </c>
      <c r="L68" s="119">
        <f t="shared" ref="L68:L100" si="8">SUM(E68:K68)</f>
        <v>497</v>
      </c>
      <c r="M68" s="140">
        <f t="shared" ref="M68:M100" si="9">LARGE(E68:K68,1)</f>
        <v>78</v>
      </c>
      <c r="N68" s="71">
        <f t="shared" ref="N68:N100" si="10">LARGE(E68:K68,2)</f>
        <v>76</v>
      </c>
      <c r="O68" s="33">
        <f t="shared" ref="O68:O100" si="11">L68-M68-N68</f>
        <v>343</v>
      </c>
      <c r="P68" s="33">
        <f>RANK(Tableau262[[#This Row],[SCORE
Final 
2024]],Tableau262[SCORE
Final 
2024],1)</f>
        <v>1</v>
      </c>
    </row>
    <row r="69" spans="1:17" ht="21" customHeight="1">
      <c r="B69" s="120" t="s">
        <v>74</v>
      </c>
      <c r="C69" s="67" t="s">
        <v>78</v>
      </c>
      <c r="D69" s="26" t="s">
        <v>107</v>
      </c>
      <c r="E69" s="186">
        <f>_xlfn.IFNA(VLOOKUP(TRIM(CONCATENATE(Tableau262[[#This Row],[PRENOM]],Tableau262[[#This Row],[NOM]])),'T1'!$C$5:$E$106,3,FALSE),90)</f>
        <v>68</v>
      </c>
      <c r="F69" s="200">
        <f>_xlfn.IFNA(VLOOKUP(TRIM(CONCATENATE(Tableau262[[#This Row],[PRENOM]],Tableau262[[#This Row],[NOM]])),'T2'!$C$5:$E$94,3,FALSE),90)</f>
        <v>67</v>
      </c>
      <c r="G69" s="204">
        <f>_xlfn.IFNA(VLOOKUP(TRIM(CONCATENATE(Tableau262[[#This Row],[PRENOM]],Tableau262[[#This Row],[NOM]])),'T3'!$C$6:$E$115,3,FALSE),90)</f>
        <v>65</v>
      </c>
      <c r="H69" s="209">
        <f>_xlfn.IFNA(VLOOKUP(TRIM(CONCATENATE(Tableau262[[#This Row],[PRENOM]],Tableau262[[#This Row],[NOM]])),'T4'!$C$5:$E$100,3,FALSE),90)</f>
        <v>77</v>
      </c>
      <c r="I69" s="215">
        <f>_xlfn.IFNA(VLOOKUP(TRIM(CONCATENATE(Tableau262[[#This Row],[PRENOM]],Tableau262[[#This Row],[NOM]])),'T5'!$C$5:$E$115,3,FALSE),90)</f>
        <v>77</v>
      </c>
      <c r="J69" s="224">
        <f>_xlfn.IFNA(VLOOKUP(TRIM(CONCATENATE(Tableau262[[#This Row],[PRENOM]],Tableau262[[#This Row],[NOM]])),'T6'!$C$5:$E$126,3,FALSE),90)</f>
        <v>73</v>
      </c>
      <c r="K69" s="186">
        <f>_xlfn.IFNA(VLOOKUP(TRIM(CONCATENATE(Tableau262[[#This Row],[PRENOM]],Tableau262[[#This Row],[NOM]])),'T7'!$C$5:$E$113,3,FALSE),90)</f>
        <v>72</v>
      </c>
      <c r="L69" s="119">
        <f t="shared" si="8"/>
        <v>499</v>
      </c>
      <c r="M69" s="140">
        <f t="shared" si="9"/>
        <v>77</v>
      </c>
      <c r="N69" s="71">
        <f t="shared" si="10"/>
        <v>77</v>
      </c>
      <c r="O69" s="33">
        <f t="shared" si="11"/>
        <v>345</v>
      </c>
      <c r="P69" s="33">
        <f>RANK(Tableau262[[#This Row],[SCORE
Final 
2024]],Tableau262[SCORE
Final 
2024],1)</f>
        <v>2</v>
      </c>
    </row>
    <row r="70" spans="1:17" ht="21" customHeight="1">
      <c r="B70" s="62" t="s">
        <v>73</v>
      </c>
      <c r="C70" s="7" t="s">
        <v>67</v>
      </c>
      <c r="D70" s="25" t="s">
        <v>8</v>
      </c>
      <c r="E70" s="185">
        <f>_xlfn.IFNA(VLOOKUP(TRIM(CONCATENATE(Tableau262[[#This Row],[PRENOM]],Tableau262[[#This Row],[NOM]])),'T1'!$C$5:$E$106,3,FALSE),90)</f>
        <v>65</v>
      </c>
      <c r="F70" s="200">
        <f>_xlfn.IFNA(VLOOKUP(TRIM(CONCATENATE(Tableau262[[#This Row],[PRENOM]],Tableau262[[#This Row],[NOM]])),'T2'!$C$5:$E$94,3,FALSE),90)</f>
        <v>70</v>
      </c>
      <c r="G70" s="203">
        <f>_xlfn.IFNA(VLOOKUP(TRIM(CONCATENATE(Tableau262[[#This Row],[PRENOM]],Tableau262[[#This Row],[NOM]])),'T3'!$C$6:$E$115,3,FALSE),90)</f>
        <v>70</v>
      </c>
      <c r="H70" s="34">
        <f>_xlfn.IFNA(VLOOKUP(TRIM(CONCATENATE(Tableau262[[#This Row],[PRENOM]],Tableau262[[#This Row],[NOM]])),'T4'!$C$5:$E$100,3,FALSE),90)</f>
        <v>90</v>
      </c>
      <c r="I70" s="215">
        <f>_xlfn.IFNA(VLOOKUP(TRIM(CONCATENATE(Tableau262[[#This Row],[PRENOM]],Tableau262[[#This Row],[NOM]])),'T5'!$C$5:$E$115,3,FALSE),90)</f>
        <v>66</v>
      </c>
      <c r="J70" s="224">
        <f>_xlfn.IFNA(VLOOKUP(TRIM(CONCATENATE(Tableau262[[#This Row],[PRENOM]],Tableau262[[#This Row],[NOM]])),'T6'!$C$5:$E$126,3,FALSE),90)</f>
        <v>75</v>
      </c>
      <c r="K70" s="186">
        <f>_xlfn.IFNA(VLOOKUP(TRIM(CONCATENATE(Tableau262[[#This Row],[PRENOM]],Tableau262[[#This Row],[NOM]])),'T7'!$C$5:$E$113,3,FALSE),90)</f>
        <v>75</v>
      </c>
      <c r="L70" s="35">
        <f t="shared" si="8"/>
        <v>511</v>
      </c>
      <c r="M70" s="54">
        <f t="shared" si="9"/>
        <v>90</v>
      </c>
      <c r="N70" s="39">
        <f t="shared" si="10"/>
        <v>75</v>
      </c>
      <c r="O70" s="33">
        <f t="shared" si="11"/>
        <v>346</v>
      </c>
      <c r="P70" s="58">
        <f>RANK(Tableau262[[#This Row],[SCORE
Final 
2024]],Tableau262[SCORE
Final 
2024],1)</f>
        <v>3</v>
      </c>
    </row>
    <row r="71" spans="1:17" ht="21" customHeight="1">
      <c r="B71" s="120" t="s">
        <v>198</v>
      </c>
      <c r="C71" s="67" t="s">
        <v>67</v>
      </c>
      <c r="D71" s="127" t="s">
        <v>11</v>
      </c>
      <c r="E71" s="184">
        <f>_xlfn.IFNA(VLOOKUP(TRIM(CONCATENATE(Tableau262[[#This Row],[PRENOM]],Tableau262[[#This Row],[NOM]])),'T1'!$C$5:$E$106,3,FALSE),90)</f>
        <v>63</v>
      </c>
      <c r="F71" s="202">
        <f>_xlfn.IFNA(VLOOKUP(TRIM(CONCATENATE(Tableau262[[#This Row],[PRENOM]],Tableau262[[#This Row],[NOM]])),'T2'!$C$5:$E$94,3,FALSE),90)</f>
        <v>79</v>
      </c>
      <c r="G71" s="205">
        <v>70</v>
      </c>
      <c r="H71" s="210">
        <f>_xlfn.IFNA(VLOOKUP(TRIM(CONCATENATE(Tableau262[[#This Row],[PRENOM]],Tableau262[[#This Row],[NOM]])),'T4'!$C$5:$E$100,3,FALSE),90)</f>
        <v>78</v>
      </c>
      <c r="I71" s="176">
        <f>_xlfn.IFNA(VLOOKUP(TRIM(CONCATENATE(Tableau262[[#This Row],[PRENOM]],Tableau262[[#This Row],[NOM]])),'T5'!$C$5:$E$115,3,FALSE),90)</f>
        <v>68</v>
      </c>
      <c r="J71" s="223">
        <f>_xlfn.IFNA(VLOOKUP(TRIM(CONCATENATE(Tableau262[[#This Row],[PRENOM]],Tableau262[[#This Row],[NOM]])),'T6'!$C$5:$E$126,3,FALSE),90)</f>
        <v>69</v>
      </c>
      <c r="K71" s="176">
        <f>_xlfn.IFNA(VLOOKUP(TRIM(CONCATENATE(Tableau262[[#This Row],[PRENOM]],Tableau262[[#This Row],[NOM]])),'T7'!$C$5:$E$113,3,FALSE),90)</f>
        <v>90</v>
      </c>
      <c r="L71" s="178">
        <f t="shared" si="8"/>
        <v>517</v>
      </c>
      <c r="M71" s="179">
        <f t="shared" si="9"/>
        <v>90</v>
      </c>
      <c r="N71" s="180">
        <f t="shared" si="10"/>
        <v>79</v>
      </c>
      <c r="O71" s="181">
        <f t="shared" si="11"/>
        <v>348</v>
      </c>
      <c r="P71" s="181">
        <f>RANK(Tableau262[[#This Row],[SCORE
Final 
2024]],Tableau262[SCORE
Final 
2024],1)</f>
        <v>4</v>
      </c>
    </row>
    <row r="72" spans="1:17" ht="21" customHeight="1">
      <c r="B72" s="62" t="s">
        <v>32</v>
      </c>
      <c r="C72" s="67" t="s">
        <v>47</v>
      </c>
      <c r="D72" s="262" t="s">
        <v>8</v>
      </c>
      <c r="E72" s="186">
        <f>_xlfn.IFNA(VLOOKUP(TRIM(CONCATENATE(Tableau262[[#This Row],[PRENOM]],Tableau262[[#This Row],[NOM]])),'T1'!$C$5:$E$106,3,FALSE),90)</f>
        <v>68</v>
      </c>
      <c r="F72" s="200">
        <f>_xlfn.IFNA(VLOOKUP(TRIM(CONCATENATE(Tableau262[[#This Row],[PRENOM]],Tableau262[[#This Row],[NOM]])),'T2'!$C$5:$E$94,3,FALSE),90)</f>
        <v>68</v>
      </c>
      <c r="G72" s="204">
        <f>_xlfn.IFNA(VLOOKUP(TRIM(CONCATENATE(Tableau262[[#This Row],[PRENOM]],Tableau262[[#This Row],[NOM]])),'T3'!$C$6:$E$115,3,FALSE),90)</f>
        <v>71</v>
      </c>
      <c r="H72" s="209">
        <f>_xlfn.IFNA(VLOOKUP(TRIM(CONCATENATE(Tableau262[[#This Row],[PRENOM]],Tableau262[[#This Row],[NOM]])),'T4'!$C$5:$E$100,3,FALSE),90)</f>
        <v>81</v>
      </c>
      <c r="I72" s="215">
        <f>_xlfn.IFNA(VLOOKUP(TRIM(CONCATENATE(Tableau262[[#This Row],[PRENOM]],Tableau262[[#This Row],[NOM]])),'T5'!$C$5:$E$115,3,FALSE),90)</f>
        <v>80</v>
      </c>
      <c r="J72" s="224">
        <f>_xlfn.IFNA(VLOOKUP(TRIM(CONCATENATE(Tableau262[[#This Row],[PRENOM]],Tableau262[[#This Row],[NOM]])),'T6'!$C$5:$E$126,3,FALSE),90)</f>
        <v>76</v>
      </c>
      <c r="K72" s="186">
        <f>_xlfn.IFNA(VLOOKUP(TRIM(CONCATENATE(Tableau262[[#This Row],[PRENOM]],Tableau262[[#This Row],[NOM]])),'T7'!$C$5:$E$113,3,FALSE),90)</f>
        <v>67</v>
      </c>
      <c r="L72" s="119">
        <f t="shared" si="8"/>
        <v>511</v>
      </c>
      <c r="M72" s="140">
        <f t="shared" si="9"/>
        <v>81</v>
      </c>
      <c r="N72" s="71">
        <f t="shared" si="10"/>
        <v>80</v>
      </c>
      <c r="O72" s="33">
        <f t="shared" si="11"/>
        <v>350</v>
      </c>
      <c r="P72" s="33">
        <f>RANK(Tableau262[[#This Row],[SCORE
Final 
2024]],Tableau262[SCORE
Final 
2024],1)</f>
        <v>5</v>
      </c>
    </row>
    <row r="73" spans="1:17" ht="21" customHeight="1">
      <c r="B73" s="62" t="s">
        <v>89</v>
      </c>
      <c r="C73" s="7" t="s">
        <v>90</v>
      </c>
      <c r="D73" s="26" t="s">
        <v>107</v>
      </c>
      <c r="E73" s="34">
        <f>_xlfn.IFNA(VLOOKUP(TRIM(CONCATENATE(Tableau262[[#This Row],[PRENOM]],Tableau262[[#This Row],[NOM]])),'T1'!$C$5:$E$106,3,FALSE),90)</f>
        <v>90</v>
      </c>
      <c r="F73" s="68">
        <f>_xlfn.IFNA(VLOOKUP(TRIM(CONCATENATE(Tableau262[[#This Row],[PRENOM]],Tableau262[[#This Row],[NOM]])),'T2'!$C$5:$E$94,3,FALSE),90)</f>
        <v>90</v>
      </c>
      <c r="G73" s="34">
        <f>_xlfn.IFNA(VLOOKUP(TRIM(CONCATENATE(Tableau262[[#This Row],[PRENOM]],Tableau262[[#This Row],[NOM]])),'T3'!$C$6:$E$115,3,FALSE),90)</f>
        <v>90</v>
      </c>
      <c r="H73" s="208">
        <f>_xlfn.IFNA(VLOOKUP(TRIM(CONCATENATE(Tableau262[[#This Row],[PRENOM]],Tableau262[[#This Row],[NOM]])),'T4'!$C$5:$E$100,3,FALSE),90)</f>
        <v>71</v>
      </c>
      <c r="I73" s="215">
        <f>_xlfn.IFNA(VLOOKUP(TRIM(CONCATENATE(Tableau262[[#This Row],[PRENOM]],Tableau262[[#This Row],[NOM]])),'T5'!$C$5:$E$115,3,FALSE),90)</f>
        <v>70</v>
      </c>
      <c r="J73" s="224">
        <f>_xlfn.IFNA(VLOOKUP(TRIM(CONCATENATE(Tableau262[[#This Row],[PRENOM]],Tableau262[[#This Row],[NOM]])),'T6'!$C$5:$E$126,3,FALSE),90)</f>
        <v>78</v>
      </c>
      <c r="K73" s="186">
        <f>_xlfn.IFNA(VLOOKUP(TRIM(CONCATENATE(Tableau262[[#This Row],[PRENOM]],Tableau262[[#This Row],[NOM]])),'T7'!$C$5:$E$113,3,FALSE),90)</f>
        <v>68</v>
      </c>
      <c r="L73" s="35">
        <f t="shared" si="8"/>
        <v>557</v>
      </c>
      <c r="M73" s="54">
        <f t="shared" si="9"/>
        <v>90</v>
      </c>
      <c r="N73" s="39">
        <f t="shared" si="10"/>
        <v>90</v>
      </c>
      <c r="O73" s="33">
        <f t="shared" si="11"/>
        <v>377</v>
      </c>
      <c r="P73" s="33">
        <f>RANK(Tableau262[[#This Row],[SCORE
Final 
2024]],Tableau262[SCORE
Final 
2024],1)</f>
        <v>6</v>
      </c>
    </row>
    <row r="74" spans="1:17" ht="21" customHeight="1">
      <c r="B74" s="62" t="s">
        <v>62</v>
      </c>
      <c r="C74" s="7" t="s">
        <v>55</v>
      </c>
      <c r="D74" s="27" t="s">
        <v>63</v>
      </c>
      <c r="E74" s="185">
        <f>_xlfn.IFNA(VLOOKUP(TRIM(CONCATENATE(Tableau262[[#This Row],[PRENOM]],Tableau262[[#This Row],[NOM]])),'T1'!$C$5:$E$106,3,FALSE),90)</f>
        <v>74</v>
      </c>
      <c r="F74" s="68">
        <f>_xlfn.IFNA(VLOOKUP(TRIM(CONCATENATE(Tableau262[[#This Row],[PRENOM]],Tableau262[[#This Row],[NOM]])),'T2'!$C$5:$E$94,3,FALSE),90)</f>
        <v>90</v>
      </c>
      <c r="G74" s="34">
        <f>_xlfn.IFNA(VLOOKUP(TRIM(CONCATENATE(Tableau262[[#This Row],[PRENOM]],Tableau262[[#This Row],[NOM]])),'T3'!$C$6:$E$115,3,FALSE),90)</f>
        <v>90</v>
      </c>
      <c r="H74" s="34">
        <f>_xlfn.IFNA(VLOOKUP(TRIM(CONCATENATE(Tableau262[[#This Row],[PRENOM]],Tableau262[[#This Row],[NOM]])),'T4'!$C$5:$E$100,3,FALSE),90)</f>
        <v>90</v>
      </c>
      <c r="I74" s="215">
        <f>_xlfn.IFNA(VLOOKUP(TRIM(CONCATENATE(Tableau262[[#This Row],[PRENOM]],Tableau262[[#This Row],[NOM]])),'T5'!$C$5:$E$115,3,FALSE),90)</f>
        <v>73</v>
      </c>
      <c r="J74" s="224">
        <f>_xlfn.IFNA(VLOOKUP(TRIM(CONCATENATE(Tableau262[[#This Row],[PRENOM]],Tableau262[[#This Row],[NOM]])),'T6'!$C$5:$E$126,3,FALSE),90)</f>
        <v>75</v>
      </c>
      <c r="K74" s="186">
        <f>_xlfn.IFNA(VLOOKUP(TRIM(CONCATENATE(Tableau262[[#This Row],[PRENOM]],Tableau262[[#This Row],[NOM]])),'T7'!$C$5:$E$113,3,FALSE),90)</f>
        <v>66</v>
      </c>
      <c r="L74" s="35">
        <f t="shared" si="8"/>
        <v>558</v>
      </c>
      <c r="M74" s="54">
        <f t="shared" si="9"/>
        <v>90</v>
      </c>
      <c r="N74" s="39">
        <f t="shared" si="10"/>
        <v>90</v>
      </c>
      <c r="O74" s="33">
        <f t="shared" si="11"/>
        <v>378</v>
      </c>
      <c r="P74" s="33">
        <f>RANK(Tableau262[[#This Row],[SCORE
Final 
2024]],Tableau262[SCORE
Final 
2024],1)</f>
        <v>7</v>
      </c>
    </row>
    <row r="75" spans="1:17" ht="21" customHeight="1">
      <c r="B75" s="159" t="s">
        <v>118</v>
      </c>
      <c r="C75" s="164" t="s">
        <v>120</v>
      </c>
      <c r="D75" s="27" t="s">
        <v>63</v>
      </c>
      <c r="E75" s="186">
        <f>_xlfn.IFNA(VLOOKUP(TRIM(CONCATENATE(Tableau262[[#This Row],[PRENOM]],Tableau262[[#This Row],[NOM]])),'T1'!$C$5:$E$106,3,FALSE),90)</f>
        <v>66</v>
      </c>
      <c r="F75" s="200">
        <f>_xlfn.IFNA(VLOOKUP(TRIM(CONCATENATE(Tableau262[[#This Row],[PRENOM]],Tableau262[[#This Row],[NOM]])),'T2'!$C$5:$E$94,3,FALSE),90)</f>
        <v>69</v>
      </c>
      <c r="G75" s="68">
        <f>_xlfn.IFNA(VLOOKUP(TRIM(CONCATENATE(Tableau262[[#This Row],[PRENOM]],Tableau262[[#This Row],[NOM]])),'T3'!$C$6:$E$115,3,FALSE),90)</f>
        <v>90</v>
      </c>
      <c r="H75" s="68">
        <f>_xlfn.IFNA(VLOOKUP(TRIM(CONCATENATE(Tableau262[[#This Row],[PRENOM]],Tableau262[[#This Row],[NOM]])),'T4'!$C$5:$E$100,3,FALSE),90)</f>
        <v>90</v>
      </c>
      <c r="I75" s="176">
        <f>_xlfn.IFNA(VLOOKUP(TRIM(CONCATENATE(Tableau262[[#This Row],[PRENOM]],Tableau262[[#This Row],[NOM]])),'T5'!$C$5:$E$115,3,FALSE),90)</f>
        <v>90</v>
      </c>
      <c r="J75" s="68">
        <f>_xlfn.IFNA(VLOOKUP(TRIM(CONCATENATE(Tableau262[[#This Row],[PRENOM]],Tableau262[[#This Row],[NOM]])),'T6'!$C$5:$E$126,3,FALSE),90)</f>
        <v>90</v>
      </c>
      <c r="K75" s="186">
        <f>_xlfn.IFNA(VLOOKUP(TRIM(CONCATENATE(Tableau262[[#This Row],[PRENOM]],Tableau262[[#This Row],[NOM]])),'T7'!$C$5:$E$113,3,FALSE),90)</f>
        <v>76</v>
      </c>
      <c r="L75" s="119">
        <f t="shared" si="8"/>
        <v>571</v>
      </c>
      <c r="M75" s="140">
        <f t="shared" si="9"/>
        <v>90</v>
      </c>
      <c r="N75" s="71">
        <f t="shared" si="10"/>
        <v>90</v>
      </c>
      <c r="O75" s="33">
        <f t="shared" si="11"/>
        <v>391</v>
      </c>
      <c r="P75" s="33">
        <f>RANK(Tableau262[[#This Row],[SCORE
Final 
2024]],Tableau262[SCORE
Final 
2024],1)</f>
        <v>8</v>
      </c>
    </row>
    <row r="76" spans="1:17" ht="21" customHeight="1">
      <c r="B76" s="259" t="s">
        <v>102</v>
      </c>
      <c r="C76" s="206" t="s">
        <v>55</v>
      </c>
      <c r="D76" s="28" t="s">
        <v>24</v>
      </c>
      <c r="E76" s="186">
        <f>_xlfn.IFNA(VLOOKUP(TRIM(CONCATENATE(Tableau262[[#This Row],[PRENOM]],Tableau262[[#This Row],[NOM]])),'T1'!$C$5:$E$106,3,FALSE),90)</f>
        <v>69</v>
      </c>
      <c r="F76" s="68">
        <f>_xlfn.IFNA(VLOOKUP(TRIM(CONCATENATE(Tableau262[[#This Row],[PRENOM]],Tableau262[[#This Row],[NOM]])),'T2'!$C$5:$E$94,3,FALSE),90)</f>
        <v>90</v>
      </c>
      <c r="G76" s="68">
        <f>_xlfn.IFNA(VLOOKUP(TRIM(CONCATENATE(Tableau262[[#This Row],[PRENOM]],Tableau262[[#This Row],[NOM]])),'T3'!$C$6:$E$115,3,FALSE),90)</f>
        <v>90</v>
      </c>
      <c r="H76" s="209">
        <f>_xlfn.IFNA(VLOOKUP(TRIM(CONCATENATE(Tableau262[[#This Row],[PRENOM]],Tableau262[[#This Row],[NOM]])),'T4'!$C$5:$E$100,3,FALSE),90)</f>
        <v>85</v>
      </c>
      <c r="I76" s="176">
        <f>_xlfn.IFNA(VLOOKUP(TRIM(CONCATENATE(Tableau262[[#This Row],[PRENOM]],Tableau262[[#This Row],[NOM]])),'T5'!$C$5:$E$115,3,FALSE),90)</f>
        <v>90</v>
      </c>
      <c r="J76" s="224">
        <f>_xlfn.IFNA(VLOOKUP(TRIM(CONCATENATE(Tableau262[[#This Row],[PRENOM]],Tableau262[[#This Row],[NOM]])),'T6'!$C$5:$E$126,3,FALSE),90)</f>
        <v>79</v>
      </c>
      <c r="K76" s="186">
        <f>_xlfn.IFNA(VLOOKUP(TRIM(CONCATENATE(Tableau262[[#This Row],[PRENOM]],Tableau262[[#This Row],[NOM]])),'T7'!$C$5:$E$113,3,FALSE),90)</f>
        <v>72</v>
      </c>
      <c r="L76" s="119">
        <f t="shared" si="8"/>
        <v>575</v>
      </c>
      <c r="M76" s="140">
        <f t="shared" si="9"/>
        <v>90</v>
      </c>
      <c r="N76" s="71">
        <f t="shared" si="10"/>
        <v>90</v>
      </c>
      <c r="O76" s="33">
        <f t="shared" si="11"/>
        <v>395</v>
      </c>
      <c r="P76" s="33">
        <f>RANK(Tableau262[[#This Row],[SCORE
Final 
2024]],Tableau262[SCORE
Final 
2024],1)</f>
        <v>9</v>
      </c>
    </row>
    <row r="77" spans="1:17" ht="21" customHeight="1">
      <c r="B77" s="62" t="s">
        <v>45</v>
      </c>
      <c r="C77" s="7" t="s">
        <v>48</v>
      </c>
      <c r="D77" s="127" t="s">
        <v>11</v>
      </c>
      <c r="E77" s="34">
        <f>_xlfn.IFNA(VLOOKUP(TRIM(CONCATENATE(Tableau262[[#This Row],[PRENOM]],Tableau262[[#This Row],[NOM]])),'T1'!$C$5:$E$106,3,FALSE),90)</f>
        <v>90</v>
      </c>
      <c r="F77" s="200">
        <f>_xlfn.IFNA(VLOOKUP(TRIM(CONCATENATE(Tableau262[[#This Row],[PRENOM]],Tableau262[[#This Row],[NOM]])),'T2'!$C$5:$E$94,3,FALSE),90)</f>
        <v>73</v>
      </c>
      <c r="G77" s="203">
        <f>_xlfn.IFNA(VLOOKUP(TRIM(CONCATENATE(Tableau262[[#This Row],[PRENOM]],Tableau262[[#This Row],[NOM]])),'T3'!$C$6:$E$115,3,FALSE),90)</f>
        <v>77</v>
      </c>
      <c r="H77" s="208">
        <f>_xlfn.IFNA(VLOOKUP(TRIM(CONCATENATE(Tableau262[[#This Row],[PRENOM]],Tableau262[[#This Row],[NOM]])),'T4'!$C$5:$E$100,3,FALSE),90)</f>
        <v>77</v>
      </c>
      <c r="I77" s="176">
        <f>_xlfn.IFNA(VLOOKUP(TRIM(CONCATENATE(Tableau262[[#This Row],[PRENOM]],Tableau262[[#This Row],[NOM]])),'T5'!$C$5:$E$115,3,FALSE),90)</f>
        <v>90</v>
      </c>
      <c r="J77" s="224">
        <f>_xlfn.IFNA(VLOOKUP(TRIM(CONCATENATE(Tableau262[[#This Row],[PRENOM]],Tableau262[[#This Row],[NOM]])),'T6'!$C$5:$E$126,3,FALSE),90)</f>
        <v>83</v>
      </c>
      <c r="K77" s="68">
        <f>_xlfn.IFNA(VLOOKUP(TRIM(CONCATENATE(Tableau262[[#This Row],[PRENOM]],Tableau262[[#This Row],[NOM]])),'T7'!$C$5:$E$113,3,FALSE),90)</f>
        <v>90</v>
      </c>
      <c r="L77" s="35">
        <f t="shared" si="8"/>
        <v>580</v>
      </c>
      <c r="M77" s="54">
        <f t="shared" si="9"/>
        <v>90</v>
      </c>
      <c r="N77" s="39">
        <f t="shared" si="10"/>
        <v>90</v>
      </c>
      <c r="O77" s="33">
        <f t="shared" si="11"/>
        <v>400</v>
      </c>
      <c r="P77" s="33">
        <f>RANK(Tableau262[[#This Row],[SCORE
Final 
2024]],Tableau262[SCORE
Final 
2024],1)</f>
        <v>10</v>
      </c>
    </row>
    <row r="78" spans="1:17" ht="21" customHeight="1">
      <c r="B78" s="258" t="s">
        <v>96</v>
      </c>
      <c r="C78" s="15" t="s">
        <v>49</v>
      </c>
      <c r="D78" s="28" t="s">
        <v>24</v>
      </c>
      <c r="E78" s="186">
        <f>_xlfn.IFNA(VLOOKUP(TRIM(CONCATENATE(Tableau262[[#This Row],[PRENOM]],Tableau262[[#This Row],[NOM]])),'T1'!$C$5:$E$106,3,FALSE),90)</f>
        <v>71</v>
      </c>
      <c r="F78" s="68">
        <f>_xlfn.IFNA(VLOOKUP(TRIM(CONCATENATE(Tableau262[[#This Row],[PRENOM]],Tableau262[[#This Row],[NOM]])),'T2'!$C$5:$E$94,3,FALSE),90)</f>
        <v>90</v>
      </c>
      <c r="G78" s="68">
        <f>_xlfn.IFNA(VLOOKUP(TRIM(CONCATENATE(Tableau262[[#This Row],[PRENOM]],Tableau262[[#This Row],[NOM]])),'T3'!$C$6:$E$115,3,FALSE),90)</f>
        <v>90</v>
      </c>
      <c r="H78" s="209">
        <f>_xlfn.IFNA(VLOOKUP(TRIM(CONCATENATE(Tableau262[[#This Row],[PRENOM]],Tableau262[[#This Row],[NOM]])),'T4'!$C$5:$E$100,3,FALSE),90)</f>
        <v>73</v>
      </c>
      <c r="I78" s="176">
        <f>_xlfn.IFNA(VLOOKUP(TRIM(CONCATENATE(Tableau262[[#This Row],[PRENOM]],Tableau262[[#This Row],[NOM]])),'T5'!$C$5:$E$115,3,FALSE),90)</f>
        <v>90</v>
      </c>
      <c r="J78" s="224">
        <v>83</v>
      </c>
      <c r="K78" s="68">
        <f>_xlfn.IFNA(VLOOKUP(TRIM(CONCATENATE(Tableau262[[#This Row],[PRENOM]],Tableau262[[#This Row],[NOM]])),'T7'!$C$5:$E$113,3,FALSE),90)</f>
        <v>90</v>
      </c>
      <c r="L78" s="119">
        <f t="shared" si="8"/>
        <v>587</v>
      </c>
      <c r="M78" s="140">
        <f t="shared" si="9"/>
        <v>90</v>
      </c>
      <c r="N78" s="71">
        <f t="shared" si="10"/>
        <v>90</v>
      </c>
      <c r="O78" s="33">
        <f t="shared" si="11"/>
        <v>407</v>
      </c>
      <c r="P78" s="33">
        <f>RANK(Tableau262[[#This Row],[SCORE
Final 
2024]],Tableau262[SCORE
Final 
2024],1)</f>
        <v>11</v>
      </c>
    </row>
    <row r="79" spans="1:17" ht="21" customHeight="1">
      <c r="B79" s="164" t="s">
        <v>150</v>
      </c>
      <c r="C79" s="15" t="s">
        <v>152</v>
      </c>
      <c r="D79" s="166" t="s">
        <v>107</v>
      </c>
      <c r="E79" s="34">
        <f>_xlfn.IFNA(VLOOKUP(TRIM(CONCATENATE(Tableau262[[#This Row],[PRENOM]],Tableau262[[#This Row],[NOM]])),'T1'!$C$5:$E$106,3,FALSE),90)</f>
        <v>90</v>
      </c>
      <c r="F79" s="68">
        <f>_xlfn.IFNA(VLOOKUP(TRIM(CONCATENATE(Tableau262[[#This Row],[PRENOM]],Tableau262[[#This Row],[NOM]])),'T2'!$C$5:$E$94,3,FALSE),90)</f>
        <v>90</v>
      </c>
      <c r="G79" s="34">
        <f>_xlfn.IFNA(VLOOKUP(TRIM(CONCATENATE(Tableau262[[#This Row],[PRENOM]],Tableau262[[#This Row],[NOM]])),'T3'!$C$6:$E$115,3,FALSE),90)</f>
        <v>90</v>
      </c>
      <c r="H79" s="34">
        <f>_xlfn.IFNA(VLOOKUP(TRIM(CONCATENATE(Tableau262[[#This Row],[PRENOM]],Tableau262[[#This Row],[NOM]])),'T4'!$C$5:$E$100,3,FALSE),90)</f>
        <v>90</v>
      </c>
      <c r="I79" s="215">
        <f>_xlfn.IFNA(VLOOKUP(TRIM(CONCATENATE(Tableau262[[#This Row],[PRENOM]],Tableau262[[#This Row],[NOM]])),'T5'!$C$5:$E$115,3,FALSE),90)</f>
        <v>68</v>
      </c>
      <c r="J79" s="224">
        <f>_xlfn.IFNA(VLOOKUP(TRIM(CONCATENATE(Tableau262[[#This Row],[PRENOM]],Tableau262[[#This Row],[NOM]])),'T6'!$C$5:$E$126,3,FALSE),90)</f>
        <v>70</v>
      </c>
      <c r="K79" s="68">
        <f>_xlfn.IFNA(VLOOKUP(TRIM(CONCATENATE(Tableau262[[#This Row],[PRENOM]],Tableau262[[#This Row],[NOM]])),'T7'!$C$5:$E$113,3,FALSE),90)</f>
        <v>90</v>
      </c>
      <c r="L79" s="35">
        <f t="shared" si="8"/>
        <v>588</v>
      </c>
      <c r="M79" s="37">
        <f t="shared" si="9"/>
        <v>90</v>
      </c>
      <c r="N79" s="39">
        <f t="shared" si="10"/>
        <v>90</v>
      </c>
      <c r="O79" s="33">
        <f t="shared" si="11"/>
        <v>408</v>
      </c>
      <c r="P79" s="33">
        <f>RANK(Tableau262[[#This Row],[SCORE
Final 
2024]],Tableau262[SCORE
Final 
2024],1)</f>
        <v>12</v>
      </c>
    </row>
    <row r="80" spans="1:17" ht="21" customHeight="1">
      <c r="B80" s="259" t="s">
        <v>51</v>
      </c>
      <c r="C80" s="206" t="s">
        <v>52</v>
      </c>
      <c r="D80" s="57" t="s">
        <v>63</v>
      </c>
      <c r="E80" s="186">
        <f>_xlfn.IFNA(VLOOKUP(TRIM(CONCATENATE(Tableau262[[#This Row],[PRENOM]],Tableau262[[#This Row],[NOM]])),'T1'!$C$5:$E$106,3,FALSE),90)</f>
        <v>79</v>
      </c>
      <c r="F80" s="200">
        <f>_xlfn.IFNA(VLOOKUP(TRIM(CONCATENATE(Tableau262[[#This Row],[PRENOM]],Tableau262[[#This Row],[NOM]])),'T2'!$C$5:$E$94,3,FALSE),90)</f>
        <v>89</v>
      </c>
      <c r="G80" s="68">
        <f>_xlfn.IFNA(VLOOKUP(TRIM(CONCATENATE(Tableau262[[#This Row],[PRENOM]],Tableau262[[#This Row],[NOM]])),'T3'!$C$6:$E$115,3,FALSE),90)</f>
        <v>90</v>
      </c>
      <c r="H80" s="68">
        <f>_xlfn.IFNA(VLOOKUP(TRIM(CONCATENATE(Tableau262[[#This Row],[PRENOM]],Tableau262[[#This Row],[NOM]])),'T4'!$C$5:$E$100,3,FALSE),90)</f>
        <v>90</v>
      </c>
      <c r="I80" s="215">
        <f>_xlfn.IFNA(VLOOKUP(TRIM(CONCATENATE(Tableau262[[#This Row],[PRENOM]],Tableau262[[#This Row],[NOM]])),'T5'!$C$5:$E$115,3,FALSE),90)</f>
        <v>78</v>
      </c>
      <c r="J80" s="224">
        <f>_xlfn.IFNA(VLOOKUP(TRIM(CONCATENATE(Tableau262[[#This Row],[PRENOM]],Tableau262[[#This Row],[NOM]])),'T6'!$C$5:$E$126,3,FALSE),90)</f>
        <v>85</v>
      </c>
      <c r="K80" s="186">
        <f>_xlfn.IFNA(VLOOKUP(TRIM(CONCATENATE(Tableau262[[#This Row],[PRENOM]],Tableau262[[#This Row],[NOM]])),'T7'!$C$5:$E$113,3,FALSE),90)</f>
        <v>79</v>
      </c>
      <c r="L80" s="119">
        <f t="shared" si="8"/>
        <v>590</v>
      </c>
      <c r="M80" s="140">
        <f t="shared" si="9"/>
        <v>90</v>
      </c>
      <c r="N80" s="71">
        <f t="shared" si="10"/>
        <v>90</v>
      </c>
      <c r="O80" s="33">
        <f t="shared" si="11"/>
        <v>410</v>
      </c>
      <c r="P80" s="33">
        <f>RANK(Tableau262[[#This Row],[SCORE
Final 
2024]],Tableau262[SCORE
Final 
2024],1)</f>
        <v>13</v>
      </c>
    </row>
    <row r="81" spans="2:16" ht="21" customHeight="1">
      <c r="B81" s="62" t="s">
        <v>115</v>
      </c>
      <c r="C81" s="7" t="s">
        <v>116</v>
      </c>
      <c r="D81" s="28" t="s">
        <v>24</v>
      </c>
      <c r="E81" s="185">
        <f>_xlfn.IFNA(VLOOKUP(TRIM(CONCATENATE(Tableau262[[#This Row],[PRENOM]],Tableau262[[#This Row],[NOM]])),'T1'!$C$5:$E$106,3,FALSE),90)</f>
        <v>63</v>
      </c>
      <c r="F81" s="68">
        <f>_xlfn.IFNA(VLOOKUP(TRIM(CONCATENATE(Tableau262[[#This Row],[PRENOM]],Tableau262[[#This Row],[NOM]])),'T2'!$C$5:$E$94,3,FALSE),90)</f>
        <v>90</v>
      </c>
      <c r="G81" s="34">
        <f>_xlfn.IFNA(VLOOKUP(TRIM(CONCATENATE(Tableau262[[#This Row],[PRENOM]],Tableau262[[#This Row],[NOM]])),'T3'!$C$6:$E$115,3,FALSE),90)</f>
        <v>90</v>
      </c>
      <c r="H81" s="34">
        <f>_xlfn.IFNA(VLOOKUP(TRIM(CONCATENATE(Tableau262[[#This Row],[PRENOM]],Tableau262[[#This Row],[NOM]])),'T4'!$C$5:$E$100,3,FALSE),90)</f>
        <v>90</v>
      </c>
      <c r="I81" s="176">
        <f>_xlfn.IFNA(VLOOKUP(TRIM(CONCATENATE(Tableau262[[#This Row],[PRENOM]],Tableau262[[#This Row],[NOM]])),'T5'!$C$5:$E$115,3,FALSE),90)</f>
        <v>90</v>
      </c>
      <c r="J81" s="68">
        <f>_xlfn.IFNA(VLOOKUP(TRIM(CONCATENATE(Tableau262[[#This Row],[PRENOM]],Tableau262[[#This Row],[NOM]])),'T6'!$C$5:$E$126,3,FALSE),90)</f>
        <v>90</v>
      </c>
      <c r="K81" s="185">
        <f>_xlfn.IFNA(VLOOKUP(TRIM(CONCATENATE(Tableau262[[#This Row],[PRENOM]],Tableau262[[#This Row],[NOM]])),'T7'!$C$5:$E$113,3,FALSE),90)</f>
        <v>78</v>
      </c>
      <c r="L81" s="35">
        <f t="shared" si="8"/>
        <v>591</v>
      </c>
      <c r="M81" s="54">
        <f t="shared" si="9"/>
        <v>90</v>
      </c>
      <c r="N81" s="39">
        <f t="shared" si="10"/>
        <v>90</v>
      </c>
      <c r="O81" s="33">
        <f t="shared" si="11"/>
        <v>411</v>
      </c>
      <c r="P81" s="33">
        <f>RANK(Tableau262[[#This Row],[SCORE
Final 
2024]],Tableau262[SCORE
Final 
2024],1)</f>
        <v>14</v>
      </c>
    </row>
    <row r="82" spans="2:16" ht="21" customHeight="1">
      <c r="B82" s="62" t="s">
        <v>193</v>
      </c>
      <c r="C82" s="7" t="s">
        <v>194</v>
      </c>
      <c r="D82" s="28" t="s">
        <v>24</v>
      </c>
      <c r="E82" s="263">
        <f>_xlfn.IFNA(VLOOKUP(TRIM(CONCATENATE(Tableau262[[#This Row],[PRENOM]],Tableau262[[#This Row],[NOM]])),'T1'!$C$5:$E$106,3,FALSE),90)</f>
        <v>69</v>
      </c>
      <c r="F82" s="177">
        <f>_xlfn.IFNA(VLOOKUP(TRIM(CONCATENATE(Tableau262[[#This Row],[PRENOM]],Tableau262[[#This Row],[NOM]])),'T2'!$C$5:$E$94,3,FALSE),90)</f>
        <v>90</v>
      </c>
      <c r="G82" s="264">
        <f>_xlfn.IFNA(VLOOKUP(TRIM(CONCATENATE(Tableau262[[#This Row],[PRENOM]],Tableau262[[#This Row],[NOM]])),'T3'!$C$6:$E$115,3,FALSE),90)</f>
        <v>90</v>
      </c>
      <c r="H82" s="264">
        <f>_xlfn.IFNA(VLOOKUP(TRIM(CONCATENATE(Tableau262[[#This Row],[PRENOM]],Tableau262[[#This Row],[NOM]])),'T4'!$C$5:$E$100,3,FALSE),90)</f>
        <v>90</v>
      </c>
      <c r="I82" s="176">
        <f>_xlfn.IFNA(VLOOKUP(TRIM(CONCATENATE(Tableau262[[#This Row],[PRENOM]],Tableau262[[#This Row],[NOM]])),'T5'!$C$5:$E$115,3,FALSE),90)</f>
        <v>90</v>
      </c>
      <c r="J82" s="176">
        <f>_xlfn.IFNA(VLOOKUP(TRIM(CONCATENATE(Tableau262[[#This Row],[PRENOM]],Tableau262[[#This Row],[NOM]])),'T6'!$C$5:$E$126,3,FALSE),90)</f>
        <v>90</v>
      </c>
      <c r="K82" s="184">
        <f>_xlfn.IFNA(VLOOKUP(TRIM(CONCATENATE(Tableau262[[#This Row],[PRENOM]],Tableau262[[#This Row],[NOM]])),'T7'!$C$5:$E$113,3,FALSE),90)</f>
        <v>76</v>
      </c>
      <c r="L82" s="254">
        <f t="shared" si="8"/>
        <v>595</v>
      </c>
      <c r="M82" s="255">
        <f t="shared" si="9"/>
        <v>90</v>
      </c>
      <c r="N82" s="266">
        <f t="shared" si="10"/>
        <v>90</v>
      </c>
      <c r="O82" s="181">
        <f t="shared" si="11"/>
        <v>415</v>
      </c>
      <c r="P82" s="181">
        <f>RANK(Tableau262[[#This Row],[SCORE
Final 
2024]],Tableau262[SCORE
Final 
2024],1)</f>
        <v>15</v>
      </c>
    </row>
    <row r="83" spans="2:16" ht="21" customHeight="1">
      <c r="B83" s="193" t="s">
        <v>30</v>
      </c>
      <c r="C83" s="193" t="s">
        <v>159</v>
      </c>
      <c r="D83" s="127" t="s">
        <v>11</v>
      </c>
      <c r="E83" s="34">
        <f>_xlfn.IFNA(VLOOKUP(TRIM(CONCATENATE(Tableau262[[#This Row],[PRENOM]],Tableau262[[#This Row],[NOM]])),'T1'!$C$5:$E$106,3,FALSE),90)</f>
        <v>90</v>
      </c>
      <c r="F83" s="68">
        <f>_xlfn.IFNA(VLOOKUP(TRIM(CONCATENATE(Tableau262[[#This Row],[PRENOM]],Tableau262[[#This Row],[NOM]])),'T2'!$C$5:$E$94,3,FALSE),90)</f>
        <v>90</v>
      </c>
      <c r="G83" s="204">
        <f>_xlfn.IFNA(VLOOKUP(TRIM(CONCATENATE(Tableau262[[#This Row],[PRENOM]],Tableau262[[#This Row],[NOM]])),'T3'!$C$6:$E$115,3,FALSE),90)</f>
        <v>78</v>
      </c>
      <c r="H83" s="68">
        <f>_xlfn.IFNA(VLOOKUP(TRIM(CONCATENATE(Tableau262[[#This Row],[PRENOM]],Tableau262[[#This Row],[NOM]])),'T4'!$C$5:$E$100,3,FALSE),90)</f>
        <v>90</v>
      </c>
      <c r="I83" s="215">
        <f>_xlfn.IFNA(VLOOKUP(TRIM(CONCATENATE(Tableau262[[#This Row],[PRENOM]],Tableau262[[#This Row],[NOM]])),'T5'!$C$5:$E$115,3,FALSE),90)</f>
        <v>81</v>
      </c>
      <c r="J83" s="68">
        <f>_xlfn.IFNA(VLOOKUP(TRIM(CONCATENATE(Tableau262[[#This Row],[PRENOM]],Tableau262[[#This Row],[NOM]])),'T6'!$C$5:$E$126,3,FALSE),90)</f>
        <v>90</v>
      </c>
      <c r="K83" s="186">
        <f>_xlfn.IFNA(VLOOKUP(TRIM(CONCATENATE(Tableau262[[#This Row],[PRENOM]],Tableau262[[#This Row],[NOM]])),'T7'!$C$5:$E$113,3,FALSE),90)</f>
        <v>77</v>
      </c>
      <c r="L83" s="119">
        <f t="shared" si="8"/>
        <v>596</v>
      </c>
      <c r="M83" s="140">
        <f t="shared" si="9"/>
        <v>90</v>
      </c>
      <c r="N83" s="71">
        <f t="shared" si="10"/>
        <v>90</v>
      </c>
      <c r="O83" s="33">
        <f t="shared" si="11"/>
        <v>416</v>
      </c>
      <c r="P83" s="33">
        <f>RANK(Tableau262[[#This Row],[SCORE
Final 
2024]],Tableau262[SCORE
Final 
2024],1)</f>
        <v>16</v>
      </c>
    </row>
    <row r="84" spans="2:16" ht="21" customHeight="1">
      <c r="B84" s="257" t="s">
        <v>191</v>
      </c>
      <c r="C84" s="260" t="s">
        <v>192</v>
      </c>
      <c r="D84" s="24" t="s">
        <v>17</v>
      </c>
      <c r="E84" s="185">
        <f>_xlfn.IFNA(VLOOKUP(TRIM(CONCATENATE(Tableau262[[#This Row],[PRENOM]],Tableau262[[#This Row],[NOM]])),'T1'!$C$5:$E$106,3,FALSE),90)</f>
        <v>73</v>
      </c>
      <c r="F84" s="200">
        <f>_xlfn.IFNA(VLOOKUP(TRIM(CONCATENATE(Tableau262[[#This Row],[PRENOM]],Tableau262[[#This Row],[NOM]])),'T2'!$C$5:$E$94,3,FALSE),90)</f>
        <v>75</v>
      </c>
      <c r="G84" s="264">
        <f>_xlfn.IFNA(VLOOKUP(TRIM(CONCATENATE(Tableau262[[#This Row],[PRENOM]],Tableau262[[#This Row],[NOM]])),'T3'!$C$6:$E$115,3,FALSE),90)</f>
        <v>90</v>
      </c>
      <c r="H84" s="264">
        <f>_xlfn.IFNA(VLOOKUP(TRIM(CONCATENATE(Tableau262[[#This Row],[PRENOM]],Tableau262[[#This Row],[NOM]])),'T4'!$C$5:$E$100,3,FALSE),90)</f>
        <v>90</v>
      </c>
      <c r="I84" s="176">
        <f>_xlfn.IFNA(VLOOKUP(TRIM(CONCATENATE(Tableau262[[#This Row],[PRENOM]],Tableau262[[#This Row],[NOM]])),'T5'!$C$5:$E$115,3,FALSE),90)</f>
        <v>90</v>
      </c>
      <c r="J84" s="176">
        <f>_xlfn.IFNA(VLOOKUP(TRIM(CONCATENATE(Tableau262[[#This Row],[PRENOM]],Tableau262[[#This Row],[NOM]])),'T6'!$C$5:$E$126,3,FALSE),90)</f>
        <v>90</v>
      </c>
      <c r="K84" s="264">
        <f>_xlfn.IFNA(VLOOKUP(TRIM(CONCATENATE(Tableau262[[#This Row],[PRENOM]],Tableau262[[#This Row],[NOM]])),'T7'!$C$5:$E$113,3,FALSE),90)</f>
        <v>90</v>
      </c>
      <c r="L84" s="254">
        <f t="shared" si="8"/>
        <v>598</v>
      </c>
      <c r="M84" s="255">
        <f t="shared" si="9"/>
        <v>90</v>
      </c>
      <c r="N84" s="266">
        <f t="shared" si="10"/>
        <v>90</v>
      </c>
      <c r="O84" s="181">
        <f t="shared" si="11"/>
        <v>418</v>
      </c>
      <c r="P84" s="181">
        <f>RANK(Tableau262[[#This Row],[SCORE
Final 
2024]],Tableau262[SCORE
Final 
2024],1)</f>
        <v>17</v>
      </c>
    </row>
    <row r="85" spans="2:16" ht="21" customHeight="1">
      <c r="B85" s="63" t="s">
        <v>94</v>
      </c>
      <c r="C85" s="15" t="s">
        <v>95</v>
      </c>
      <c r="D85" s="28" t="s">
        <v>24</v>
      </c>
      <c r="E85" s="186">
        <f>_xlfn.IFNA(VLOOKUP(TRIM(CONCATENATE(Tableau262[[#This Row],[PRENOM]],Tableau262[[#This Row],[NOM]])),'T1'!$C$5:$E$106,3,FALSE),90)</f>
        <v>73</v>
      </c>
      <c r="F85" s="68">
        <f>_xlfn.IFNA(VLOOKUP(TRIM(CONCATENATE(Tableau262[[#This Row],[PRENOM]],Tableau262[[#This Row],[NOM]])),'T2'!$C$5:$E$94,3,FALSE),90)</f>
        <v>90</v>
      </c>
      <c r="G85" s="68">
        <f>_xlfn.IFNA(VLOOKUP(TRIM(CONCATENATE(Tableau262[[#This Row],[PRENOM]],Tableau262[[#This Row],[NOM]])),'T3'!$C$6:$E$115,3,FALSE),90)</f>
        <v>90</v>
      </c>
      <c r="H85" s="68">
        <f>_xlfn.IFNA(VLOOKUP(TRIM(CONCATENATE(Tableau262[[#This Row],[PRENOM]],Tableau262[[#This Row],[NOM]])),'T4'!$C$5:$E$100,3,FALSE),90)</f>
        <v>90</v>
      </c>
      <c r="I85" s="176">
        <f>_xlfn.IFNA(VLOOKUP(TRIM(CONCATENATE(Tableau262[[#This Row],[PRENOM]],Tableau262[[#This Row],[NOM]])),'T5'!$C$5:$E$115,3,FALSE),90)</f>
        <v>90</v>
      </c>
      <c r="J85" s="224">
        <f>_xlfn.IFNA(VLOOKUP(TRIM(CONCATENATE(Tableau262[[#This Row],[PRENOM]],Tableau262[[#This Row],[NOM]])),'T6'!$C$5:$E$126,3,FALSE),90)</f>
        <v>78</v>
      </c>
      <c r="K85" s="68">
        <f>_xlfn.IFNA(VLOOKUP(TRIM(CONCATENATE(Tableau262[[#This Row],[PRENOM]],Tableau262[[#This Row],[NOM]])),'T7'!$C$5:$E$113,3,FALSE),90)</f>
        <v>90</v>
      </c>
      <c r="L85" s="119">
        <f t="shared" si="8"/>
        <v>601</v>
      </c>
      <c r="M85" s="140">
        <f t="shared" si="9"/>
        <v>90</v>
      </c>
      <c r="N85" s="71">
        <f t="shared" si="10"/>
        <v>90</v>
      </c>
      <c r="O85" s="33">
        <f t="shared" si="11"/>
        <v>421</v>
      </c>
      <c r="P85" s="33">
        <f>RANK(Tableau262[[#This Row],[SCORE
Final 
2024]],Tableau262[SCORE
Final 
2024],1)</f>
        <v>18</v>
      </c>
    </row>
    <row r="86" spans="2:16" ht="21" customHeight="1">
      <c r="B86" s="63" t="s">
        <v>56</v>
      </c>
      <c r="C86" s="15" t="s">
        <v>57</v>
      </c>
      <c r="D86" s="56" t="s">
        <v>107</v>
      </c>
      <c r="E86" s="186">
        <f>_xlfn.IFNA(VLOOKUP(TRIM(CONCATENATE(Tableau262[[#This Row],[PRENOM]],Tableau262[[#This Row],[NOM]])),'T1'!$C$5:$E$106,3,FALSE),90)</f>
        <v>76</v>
      </c>
      <c r="F86" s="68">
        <f>_xlfn.IFNA(VLOOKUP(TRIM(CONCATENATE(Tableau262[[#This Row],[PRENOM]],Tableau262[[#This Row],[NOM]])),'T2'!$C$5:$E$94,3,FALSE),90)</f>
        <v>90</v>
      </c>
      <c r="G86" s="68">
        <f>_xlfn.IFNA(VLOOKUP(TRIM(CONCATENATE(Tableau262[[#This Row],[PRENOM]],Tableau262[[#This Row],[NOM]])),'T3'!$C$6:$E$115,3,FALSE),90)</f>
        <v>90</v>
      </c>
      <c r="H86" s="209">
        <f>_xlfn.IFNA(VLOOKUP(TRIM(CONCATENATE(Tableau262[[#This Row],[PRENOM]],Tableau262[[#This Row],[NOM]])),'T4'!$C$5:$E$100,3,FALSE),90)</f>
        <v>85</v>
      </c>
      <c r="I86" s="176">
        <f>_xlfn.IFNA(VLOOKUP(TRIM(CONCATENATE(Tableau262[[#This Row],[PRENOM]],Tableau262[[#This Row],[NOM]])),'T5'!$C$5:$E$115,3,FALSE),90)</f>
        <v>90</v>
      </c>
      <c r="J86" s="68">
        <f>_xlfn.IFNA(VLOOKUP(TRIM(CONCATENATE(Tableau262[[#This Row],[PRENOM]],Tableau262[[#This Row],[NOM]])),'T6'!$C$5:$E$126,3,FALSE),90)</f>
        <v>90</v>
      </c>
      <c r="K86" s="186">
        <f>_xlfn.IFNA(VLOOKUP(TRIM(CONCATENATE(Tableau262[[#This Row],[PRENOM]],Tableau262[[#This Row],[NOM]])),'T7'!$C$5:$E$113,3,FALSE),90)</f>
        <v>81</v>
      </c>
      <c r="L86" s="119">
        <f t="shared" si="8"/>
        <v>602</v>
      </c>
      <c r="M86" s="140">
        <f t="shared" si="9"/>
        <v>90</v>
      </c>
      <c r="N86" s="71">
        <f t="shared" si="10"/>
        <v>90</v>
      </c>
      <c r="O86" s="33">
        <f t="shared" si="11"/>
        <v>422</v>
      </c>
      <c r="P86" s="33">
        <f>RANK(Tableau262[[#This Row],[SCORE
Final 
2024]],Tableau262[SCORE
Final 
2024],1)</f>
        <v>19</v>
      </c>
    </row>
    <row r="87" spans="2:16" ht="21" customHeight="1">
      <c r="B87" s="63" t="s">
        <v>38</v>
      </c>
      <c r="C87" s="15" t="s">
        <v>49</v>
      </c>
      <c r="D87" s="261" t="s">
        <v>17</v>
      </c>
      <c r="E87" s="34">
        <f>_xlfn.IFNA(VLOOKUP(TRIM(CONCATENATE(Tableau262[[#This Row],[PRENOM]],Tableau262[[#This Row],[NOM]])),'T1'!$C$5:$E$106,3,FALSE),90)</f>
        <v>90</v>
      </c>
      <c r="F87" s="201">
        <f>_xlfn.IFNA(VLOOKUP(TRIM(CONCATENATE(Tableau262[[#This Row],[PRENOM]],Tableau262[[#This Row],[NOM]])),'T2'!$C$5:$E$94,3,FALSE),90)</f>
        <v>85</v>
      </c>
      <c r="G87" s="34">
        <f>_xlfn.IFNA(VLOOKUP(TRIM(CONCATENATE(Tableau262[[#This Row],[PRENOM]],Tableau262[[#This Row],[NOM]])),'T3'!$C$6:$E$115,3,FALSE),90)</f>
        <v>90</v>
      </c>
      <c r="H87" s="34">
        <f>_xlfn.IFNA(VLOOKUP(TRIM(CONCATENATE(Tableau262[[#This Row],[PRENOM]],Tableau262[[#This Row],[NOM]])),'T4'!$C$5:$E$100,3,FALSE),90)</f>
        <v>90</v>
      </c>
      <c r="I87" s="176">
        <f>_xlfn.IFNA(VLOOKUP(TRIM(CONCATENATE(Tableau262[[#This Row],[PRENOM]],Tableau262[[#This Row],[NOM]])),'T5'!$C$5:$E$115,3,FALSE),90)</f>
        <v>90</v>
      </c>
      <c r="J87" s="224">
        <v>85</v>
      </c>
      <c r="K87" s="185">
        <f>_xlfn.IFNA(VLOOKUP(TRIM(CONCATENATE(Tableau262[[#This Row],[PRENOM]],Tableau262[[#This Row],[NOM]])),'T7'!$C$5:$E$113,3,FALSE),90)</f>
        <v>75</v>
      </c>
      <c r="L87" s="35">
        <f t="shared" si="8"/>
        <v>605</v>
      </c>
      <c r="M87" s="37">
        <f t="shared" si="9"/>
        <v>90</v>
      </c>
      <c r="N87" s="39">
        <f t="shared" si="10"/>
        <v>90</v>
      </c>
      <c r="O87" s="33">
        <f t="shared" si="11"/>
        <v>425</v>
      </c>
      <c r="P87" s="33">
        <f>RANK(Tableau262[[#This Row],[SCORE
Final 
2024]],Tableau262[SCORE
Final 
2024],1)</f>
        <v>20</v>
      </c>
    </row>
    <row r="88" spans="2:16" ht="21" customHeight="1">
      <c r="B88" s="63" t="s">
        <v>232</v>
      </c>
      <c r="C88" s="15" t="s">
        <v>57</v>
      </c>
      <c r="D88" s="28" t="s">
        <v>24</v>
      </c>
      <c r="E88" s="34">
        <f>_xlfn.IFNA(VLOOKUP(TRIM(CONCATENATE(Tableau262[[#This Row],[PRENOM]],Tableau262[[#This Row],[NOM]])),'T1'!$C$5:$E$106,3,FALSE),90)</f>
        <v>90</v>
      </c>
      <c r="F88" s="158">
        <f>_xlfn.IFNA(VLOOKUP(TRIM(CONCATENATE(Tableau262[[#This Row],[PRENOM]],Tableau262[[#This Row],[NOM]])),'T2'!$C$5:$E$94,3,FALSE),90)</f>
        <v>90</v>
      </c>
      <c r="G88" s="34">
        <f>_xlfn.IFNA(VLOOKUP(TRIM(CONCATENATE(Tableau262[[#This Row],[PRENOM]],Tableau262[[#This Row],[NOM]])),'T3'!$C$6:$E$115,3,FALSE),90)</f>
        <v>90</v>
      </c>
      <c r="H88" s="208">
        <f>_xlfn.IFNA(VLOOKUP(TRIM(CONCATENATE(Tableau262[[#This Row],[PRENOM]],Tableau262[[#This Row],[NOM]])),'T4'!$C$5:$E$100,3,FALSE),90)</f>
        <v>90</v>
      </c>
      <c r="I88" s="68">
        <f>_xlfn.IFNA(VLOOKUP(TRIM(CONCATENATE(Tableau262[[#This Row],[PRENOM]],Tableau262[[#This Row],[NOM]])),'T5'!$C$5:$E$115,3,FALSE),90)</f>
        <v>90</v>
      </c>
      <c r="J88" s="68">
        <f>_xlfn.IFNA(VLOOKUP(TRIM(CONCATENATE(Tableau262[[#This Row],[PRENOM]],Tableau262[[#This Row],[NOM]])),'T6'!$C$5:$E$126,3,FALSE),90)</f>
        <v>90</v>
      </c>
      <c r="K88" s="185">
        <f>_xlfn.IFNA(VLOOKUP(TRIM(CONCATENATE(Tableau262[[#This Row],[PRENOM]],Tableau262[[#This Row],[NOM]])),'T7'!$C$5:$E$113,3,FALSE),90)</f>
        <v>66</v>
      </c>
      <c r="L88" s="35">
        <f t="shared" si="8"/>
        <v>606</v>
      </c>
      <c r="M88" s="37">
        <f t="shared" si="9"/>
        <v>90</v>
      </c>
      <c r="N88" s="39">
        <f t="shared" si="10"/>
        <v>90</v>
      </c>
      <c r="O88" s="33">
        <f t="shared" si="11"/>
        <v>426</v>
      </c>
      <c r="P88" s="33">
        <f>RANK(Tableau262[[#This Row],[SCORE
Final 
2024]],Tableau262[SCORE
Final 
2024],1)</f>
        <v>21</v>
      </c>
    </row>
    <row r="89" spans="2:16" ht="21" customHeight="1">
      <c r="B89" s="63" t="s">
        <v>206</v>
      </c>
      <c r="C89" s="15" t="s">
        <v>207</v>
      </c>
      <c r="D89" s="27" t="s">
        <v>63</v>
      </c>
      <c r="E89" s="34">
        <f>_xlfn.IFNA(VLOOKUP(TRIM(CONCATENATE(Tableau262[[#This Row],[PRENOM]],Tableau262[[#This Row],[NOM]])),'T1'!$C$5:$E$106,3,FALSE),90)</f>
        <v>90</v>
      </c>
      <c r="F89" s="158">
        <f>_xlfn.IFNA(VLOOKUP(TRIM(CONCATENATE(Tableau262[[#This Row],[PRENOM]],Tableau262[[#This Row],[NOM]])),'T2'!$C$5:$E$94,3,FALSE),90)</f>
        <v>90</v>
      </c>
      <c r="G89" s="203">
        <f>_xlfn.IFNA(VLOOKUP(TRIM(CONCATENATE(Tableau262[[#This Row],[PRENOM]],Tableau262[[#This Row],[NOM]])),'T3'!$C$6:$E$115,3,FALSE),90)</f>
        <v>67</v>
      </c>
      <c r="H89" s="34">
        <f>_xlfn.IFNA(VLOOKUP(TRIM(CONCATENATE(Tableau262[[#This Row],[PRENOM]],Tableau262[[#This Row],[NOM]])),'T4'!$C$5:$E$100,3,FALSE),90)</f>
        <v>90</v>
      </c>
      <c r="I89" s="176">
        <f>_xlfn.IFNA(VLOOKUP(TRIM(CONCATENATE(Tableau262[[#This Row],[PRENOM]],Tableau262[[#This Row],[NOM]])),'T5'!$C$5:$E$115,3,FALSE),90)</f>
        <v>90</v>
      </c>
      <c r="J89" s="68">
        <f>_xlfn.IFNA(VLOOKUP(TRIM(CONCATENATE(Tableau262[[#This Row],[PRENOM]],Tableau262[[#This Row],[NOM]])),'T6'!$C$5:$E$126,3,FALSE),90)</f>
        <v>90</v>
      </c>
      <c r="K89" s="34">
        <f>_xlfn.IFNA(VLOOKUP(TRIM(CONCATENATE(Tableau262[[#This Row],[PRENOM]],Tableau262[[#This Row],[NOM]])),'T7'!$C$5:$E$113,3,FALSE),90)</f>
        <v>90</v>
      </c>
      <c r="L89" s="35">
        <f t="shared" si="8"/>
        <v>607</v>
      </c>
      <c r="M89" s="37">
        <f t="shared" si="9"/>
        <v>90</v>
      </c>
      <c r="N89" s="39">
        <f t="shared" si="10"/>
        <v>90</v>
      </c>
      <c r="O89" s="33">
        <f t="shared" si="11"/>
        <v>427</v>
      </c>
      <c r="P89" s="33">
        <f>RANK(Tableau262[[#This Row],[SCORE
Final 
2024]],Tableau262[SCORE
Final 
2024],1)</f>
        <v>22</v>
      </c>
    </row>
    <row r="90" spans="2:16" ht="21" customHeight="1">
      <c r="B90" s="64" t="s">
        <v>163</v>
      </c>
      <c r="C90" s="20" t="s">
        <v>164</v>
      </c>
      <c r="D90" s="56" t="s">
        <v>107</v>
      </c>
      <c r="E90" s="34">
        <f>_xlfn.IFNA(VLOOKUP(TRIM(CONCATENATE(Tableau262[[#This Row],[PRENOM]],Tableau262[[#This Row],[NOM]])),'T1'!$C$5:$E$106,3,FALSE),90)</f>
        <v>90</v>
      </c>
      <c r="F90" s="68">
        <f>_xlfn.IFNA(VLOOKUP(TRIM(CONCATENATE(Tableau262[[#This Row],[PRENOM]],Tableau262[[#This Row],[NOM]])),'T2'!$C$5:$E$94,3,FALSE),90)</f>
        <v>90</v>
      </c>
      <c r="G90" s="34">
        <f>_xlfn.IFNA(VLOOKUP(TRIM(CONCATENATE(Tableau262[[#This Row],[PRENOM]],Tableau262[[#This Row],[NOM]])),'T3'!$C$6:$E$115,3,FALSE),90)</f>
        <v>90</v>
      </c>
      <c r="H90" s="34">
        <f>_xlfn.IFNA(VLOOKUP(TRIM(CONCATENATE(Tableau262[[#This Row],[PRENOM]],Tableau262[[#This Row],[NOM]])),'T4'!$C$5:$E$100,3,FALSE),90)</f>
        <v>90</v>
      </c>
      <c r="I90" s="176">
        <f>_xlfn.IFNA(VLOOKUP(TRIM(CONCATENATE(Tableau262[[#This Row],[PRENOM]],Tableau262[[#This Row],[NOM]])),'T5'!$C$5:$E$115,3,FALSE),90)</f>
        <v>90</v>
      </c>
      <c r="J90" s="224">
        <f>_xlfn.IFNA(VLOOKUP(TRIM(CONCATENATE(Tableau262[[#This Row],[PRENOM]],Tableau262[[#This Row],[NOM]])),'T6'!$C$5:$E$126,3,FALSE),90)</f>
        <v>85</v>
      </c>
      <c r="K90" s="185">
        <f>_xlfn.IFNA(VLOOKUP(TRIM(CONCATENATE(Tableau262[[#This Row],[PRENOM]],Tableau262[[#This Row],[NOM]])),'T7'!$C$5:$E$113,3,FALSE),90)</f>
        <v>72</v>
      </c>
      <c r="L90" s="35">
        <f t="shared" si="8"/>
        <v>607</v>
      </c>
      <c r="M90" s="54">
        <f t="shared" si="9"/>
        <v>90</v>
      </c>
      <c r="N90" s="39">
        <f t="shared" si="10"/>
        <v>90</v>
      </c>
      <c r="O90" s="33">
        <f t="shared" si="11"/>
        <v>427</v>
      </c>
      <c r="P90" s="33">
        <f>RANK(Tableau262[[#This Row],[SCORE
Final 
2024]],Tableau262[SCORE
Final 
2024],1)</f>
        <v>22</v>
      </c>
    </row>
    <row r="91" spans="2:16" ht="21" customHeight="1">
      <c r="B91" s="65" t="s">
        <v>81</v>
      </c>
      <c r="C91" s="211" t="s">
        <v>82</v>
      </c>
      <c r="D91" s="57" t="s">
        <v>63</v>
      </c>
      <c r="E91" s="68">
        <f>_xlfn.IFNA(VLOOKUP(TRIM(CONCATENATE(Tableau262[[#This Row],[PRENOM]],Tableau262[[#This Row],[NOM]])),'T1'!$C$5:$E$106,3,FALSE),90)</f>
        <v>90</v>
      </c>
      <c r="F91" s="68">
        <f>_xlfn.IFNA(VLOOKUP(TRIM(CONCATENATE(Tableau262[[#This Row],[PRENOM]],Tableau262[[#This Row],[NOM]])),'T2'!$C$5:$E$94,3,FALSE),90)</f>
        <v>90</v>
      </c>
      <c r="G91" s="68">
        <f>_xlfn.IFNA(VLOOKUP(TRIM(CONCATENATE(Tableau262[[#This Row],[PRENOM]],Tableau262[[#This Row],[NOM]])),'T3'!$C$6:$E$115,3,FALSE),90)</f>
        <v>90</v>
      </c>
      <c r="H91" s="209">
        <f>_xlfn.IFNA(VLOOKUP(TRIM(CONCATENATE(Tableau262[[#This Row],[PRENOM]],Tableau262[[#This Row],[NOM]])),'T4'!$C$5:$E$100,3,FALSE),90)</f>
        <v>71</v>
      </c>
      <c r="I91" s="176">
        <f>_xlfn.IFNA(VLOOKUP(TRIM(CONCATENATE(Tableau262[[#This Row],[PRENOM]],Tableau262[[#This Row],[NOM]])),'T5'!$C$5:$E$115,3,FALSE),90)</f>
        <v>90</v>
      </c>
      <c r="J91" s="68">
        <f>_xlfn.IFNA(VLOOKUP(TRIM(CONCATENATE(Tableau262[[#This Row],[PRENOM]],Tableau262[[#This Row],[NOM]])),'T6'!$C$5:$E$126,3,FALSE),90)</f>
        <v>90</v>
      </c>
      <c r="K91" s="68">
        <f>_xlfn.IFNA(VLOOKUP(TRIM(CONCATENATE(Tableau262[[#This Row],[PRENOM]],Tableau262[[#This Row],[NOM]])),'T7'!$C$5:$E$113,3,FALSE),90)</f>
        <v>90</v>
      </c>
      <c r="L91" s="119">
        <f t="shared" si="8"/>
        <v>611</v>
      </c>
      <c r="M91" s="140">
        <f t="shared" si="9"/>
        <v>90</v>
      </c>
      <c r="N91" s="71">
        <f t="shared" si="10"/>
        <v>90</v>
      </c>
      <c r="O91" s="33">
        <f t="shared" si="11"/>
        <v>431</v>
      </c>
      <c r="P91" s="33">
        <f>RANK(Tableau262[[#This Row],[SCORE
Final 
2024]],Tableau262[SCORE
Final 
2024],1)</f>
        <v>24</v>
      </c>
    </row>
    <row r="92" spans="2:16" ht="21" customHeight="1">
      <c r="B92" s="65" t="s">
        <v>125</v>
      </c>
      <c r="C92" s="211" t="s">
        <v>196</v>
      </c>
      <c r="D92" s="28" t="s">
        <v>24</v>
      </c>
      <c r="E92" s="186">
        <f>_xlfn.IFNA(VLOOKUP(TRIM(CONCATENATE(Tableau262[[#This Row],[PRENOM]],Tableau262[[#This Row],[NOM]])),'T1'!$C$5:$E$106,3,FALSE),90)</f>
        <v>79</v>
      </c>
      <c r="F92" s="68">
        <f>_xlfn.IFNA(VLOOKUP(TRIM(CONCATENATE(Tableau262[[#This Row],[PRENOM]],Tableau262[[#This Row],[NOM]])),'T2'!$C$5:$E$94,3,FALSE),90)</f>
        <v>90</v>
      </c>
      <c r="G92" s="68">
        <f>_xlfn.IFNA(VLOOKUP(TRIM(CONCATENATE(Tableau262[[#This Row],[PRENOM]],Tableau262[[#This Row],[NOM]])),'T3'!$C$6:$E$115,3,FALSE),90)</f>
        <v>90</v>
      </c>
      <c r="H92" s="68">
        <f>_xlfn.IFNA(VLOOKUP(TRIM(CONCATENATE(Tableau262[[#This Row],[PRENOM]],Tableau262[[#This Row],[NOM]])),'T4'!$C$5:$E$100,3,FALSE),90)</f>
        <v>90</v>
      </c>
      <c r="I92" s="176">
        <f>_xlfn.IFNA(VLOOKUP(TRIM(CONCATENATE(Tableau262[[#This Row],[PRENOM]],Tableau262[[#This Row],[NOM]])),'T5'!$C$5:$E$115,3,FALSE),90)</f>
        <v>90</v>
      </c>
      <c r="J92" s="224">
        <v>85</v>
      </c>
      <c r="K92" s="68">
        <f>_xlfn.IFNA(VLOOKUP(TRIM(CONCATENATE(Tableau262[[#This Row],[PRENOM]],Tableau262[[#This Row],[NOM]])),'T7'!$C$5:$E$113,3,FALSE),90)</f>
        <v>90</v>
      </c>
      <c r="L92" s="265">
        <f t="shared" si="8"/>
        <v>614</v>
      </c>
      <c r="M92" s="128">
        <f t="shared" si="9"/>
        <v>90</v>
      </c>
      <c r="N92" s="129">
        <f t="shared" si="10"/>
        <v>90</v>
      </c>
      <c r="O92" s="69">
        <f t="shared" si="11"/>
        <v>434</v>
      </c>
      <c r="P92" s="69">
        <f>RANK(Tableau262[[#This Row],[SCORE
Final 
2024]],Tableau262[SCORE
Final 
2024],1)</f>
        <v>25</v>
      </c>
    </row>
    <row r="93" spans="2:16" ht="21" customHeight="1">
      <c r="B93" s="65" t="s">
        <v>119</v>
      </c>
      <c r="C93" s="21" t="s">
        <v>116</v>
      </c>
      <c r="D93" s="30" t="s">
        <v>8</v>
      </c>
      <c r="E93" s="68">
        <f>_xlfn.IFNA(VLOOKUP(TRIM(CONCATENATE(Tableau262[[#This Row],[PRENOM]],Tableau262[[#This Row],[NOM]])),'T1'!$C$5:$E$106,3,FALSE),90)</f>
        <v>90</v>
      </c>
      <c r="F93" s="68">
        <f>_xlfn.IFNA(VLOOKUP(TRIM(CONCATENATE(Tableau262[[#This Row],[PRENOM]],Tableau262[[#This Row],[NOM]])),'T2'!$C$5:$E$94,3,FALSE),90)</f>
        <v>90</v>
      </c>
      <c r="G93" s="68">
        <f>_xlfn.IFNA(VLOOKUP(TRIM(CONCATENATE(Tableau262[[#This Row],[PRENOM]],Tableau262[[#This Row],[NOM]])),'T3'!$C$6:$E$115,3,FALSE),90)</f>
        <v>90</v>
      </c>
      <c r="H93" s="68">
        <f>_xlfn.IFNA(VLOOKUP(TRIM(CONCATENATE(Tableau262[[#This Row],[PRENOM]],Tableau262[[#This Row],[NOM]])),'T4'!$C$5:$E$100,3,FALSE),90)</f>
        <v>90</v>
      </c>
      <c r="I93" s="215">
        <f>_xlfn.IFNA(VLOOKUP(TRIM(CONCATENATE(Tableau262[[#This Row],[PRENOM]],Tableau262[[#This Row],[NOM]])),'T5'!$C$5:$E$115,3,FALSE),90)</f>
        <v>85</v>
      </c>
      <c r="J93" s="224">
        <f>_xlfn.IFNA(VLOOKUP(TRIM(CONCATENATE(Tableau262[[#This Row],[PRENOM]],Tableau262[[#This Row],[NOM]])),'T6'!$C$5:$E$126,3,FALSE),90)</f>
        <v>85</v>
      </c>
      <c r="K93" s="68">
        <f>_xlfn.IFNA(VLOOKUP(TRIM(CONCATENATE(Tableau262[[#This Row],[PRENOM]],Tableau262[[#This Row],[NOM]])),'T7'!$C$5:$E$113,3,FALSE),90)</f>
        <v>90</v>
      </c>
      <c r="L93" s="119">
        <f t="shared" si="8"/>
        <v>620</v>
      </c>
      <c r="M93" s="140">
        <f t="shared" si="9"/>
        <v>90</v>
      </c>
      <c r="N93" s="71">
        <f t="shared" si="10"/>
        <v>90</v>
      </c>
      <c r="O93" s="33">
        <f t="shared" si="11"/>
        <v>440</v>
      </c>
      <c r="P93" s="33">
        <f>RANK(Tableau262[[#This Row],[SCORE
Final 
2024]],Tableau262[SCORE
Final 
2024],1)</f>
        <v>26</v>
      </c>
    </row>
    <row r="94" spans="2:16" ht="21" customHeight="1">
      <c r="B94" s="65" t="s">
        <v>214</v>
      </c>
      <c r="C94" s="21" t="s">
        <v>95</v>
      </c>
      <c r="D94" s="28" t="s">
        <v>24</v>
      </c>
      <c r="E94" s="185">
        <f>_xlfn.IFNA(VLOOKUP(TRIM(CONCATENATE(Tableau262[[#This Row],[PRENOM]],Tableau262[[#This Row],[NOM]])),'T1'!$C$5:$E$106,3,FALSE),90)</f>
        <v>90</v>
      </c>
      <c r="F94" s="158">
        <f>_xlfn.IFNA(VLOOKUP(TRIM(CONCATENATE(Tableau262[[#This Row],[PRENOM]],Tableau262[[#This Row],[NOM]])),'T2'!$C$5:$E$94,3,FALSE),90)</f>
        <v>90</v>
      </c>
      <c r="G94" s="203">
        <f>_xlfn.IFNA(VLOOKUP(TRIM(CONCATENATE(Tableau262[[#This Row],[PRENOM]],Tableau262[[#This Row],[NOM]])),'T3'!$C$6:$E$115,3,FALSE),90)</f>
        <v>90</v>
      </c>
      <c r="H94" s="208">
        <f>_xlfn.IFNA(VLOOKUP(TRIM(CONCATENATE(Tableau262[[#This Row],[PRENOM]],Tableau262[[#This Row],[NOM]])),'T4'!$C$5:$E$100,3,FALSE),90)</f>
        <v>80</v>
      </c>
      <c r="I94" s="176">
        <f>_xlfn.IFNA(VLOOKUP(TRIM(CONCATENATE(Tableau262[[#This Row],[PRENOM]],Tableau262[[#This Row],[NOM]])),'T5'!$C$5:$E$115,3,FALSE),90)</f>
        <v>90</v>
      </c>
      <c r="J94" s="68">
        <f>_xlfn.IFNA(VLOOKUP(TRIM(CONCATENATE(Tableau262[[#This Row],[PRENOM]],Tableau262[[#This Row],[NOM]])),'T6'!$C$5:$E$126,3,FALSE),90)</f>
        <v>90</v>
      </c>
      <c r="K94" s="34">
        <f>_xlfn.IFNA(VLOOKUP(TRIM(CONCATENATE(Tableau262[[#This Row],[PRENOM]],Tableau262[[#This Row],[NOM]])),'T7'!$C$5:$E$113,3,FALSE),90)</f>
        <v>90</v>
      </c>
      <c r="L94" s="35">
        <f t="shared" si="8"/>
        <v>620</v>
      </c>
      <c r="M94" s="37">
        <f t="shared" si="9"/>
        <v>90</v>
      </c>
      <c r="N94" s="39">
        <f t="shared" si="10"/>
        <v>90</v>
      </c>
      <c r="O94" s="33">
        <f t="shared" si="11"/>
        <v>440</v>
      </c>
      <c r="P94" s="33">
        <f>RANK(Tableau262[[#This Row],[SCORE
Final 
2024]],Tableau262[SCORE
Final 
2024],1)</f>
        <v>26</v>
      </c>
    </row>
    <row r="95" spans="2:16" ht="21" customHeight="1">
      <c r="B95" s="65" t="s">
        <v>153</v>
      </c>
      <c r="C95" s="21" t="s">
        <v>82</v>
      </c>
      <c r="D95" s="24" t="s">
        <v>17</v>
      </c>
      <c r="E95" s="34">
        <f>_xlfn.IFNA(VLOOKUP(TRIM(CONCATENATE(Tableau262[[#This Row],[PRENOM]],Tableau262[[#This Row],[NOM]])),'T1'!$C$5:$E$106,3,FALSE),90)</f>
        <v>90</v>
      </c>
      <c r="F95" s="68">
        <f>_xlfn.IFNA(VLOOKUP(TRIM(CONCATENATE(Tableau262[[#This Row],[PRENOM]],Tableau262[[#This Row],[NOM]])),'T2'!$C$5:$E$94,3,FALSE),90)</f>
        <v>90</v>
      </c>
      <c r="G95" s="34">
        <f>_xlfn.IFNA(VLOOKUP(TRIM(CONCATENATE(Tableau262[[#This Row],[PRENOM]],Tableau262[[#This Row],[NOM]])),'T3'!$C$6:$E$115,3,FALSE),90)</f>
        <v>90</v>
      </c>
      <c r="H95" s="34">
        <f>_xlfn.IFNA(VLOOKUP(TRIM(CONCATENATE(Tableau262[[#This Row],[PRENOM]],Tableau262[[#This Row],[NOM]])),'T4'!$C$5:$E$100,3,FALSE),90)</f>
        <v>90</v>
      </c>
      <c r="I95" s="176">
        <f>_xlfn.IFNA(VLOOKUP(TRIM(CONCATENATE(Tableau262[[#This Row],[PRENOM]],Tableau262[[#This Row],[NOM]])),'T5'!$C$5:$E$115,3,FALSE),90)</f>
        <v>90</v>
      </c>
      <c r="J95" s="224">
        <f>_xlfn.IFNA(VLOOKUP(TRIM(CONCATENATE(Tableau262[[#This Row],[PRENOM]],Tableau262[[#This Row],[NOM]])),'T6'!$C$5:$E$126,3,FALSE),90)</f>
        <v>82</v>
      </c>
      <c r="K95" s="34">
        <f>_xlfn.IFNA(VLOOKUP(TRIM(CONCATENATE(Tableau262[[#This Row],[PRENOM]],Tableau262[[#This Row],[NOM]])),'T7'!$C$5:$E$113,3,FALSE),90)</f>
        <v>90</v>
      </c>
      <c r="L95" s="35">
        <f t="shared" si="8"/>
        <v>622</v>
      </c>
      <c r="M95" s="37">
        <f t="shared" si="9"/>
        <v>90</v>
      </c>
      <c r="N95" s="39">
        <f t="shared" si="10"/>
        <v>90</v>
      </c>
      <c r="O95" s="33">
        <f t="shared" si="11"/>
        <v>442</v>
      </c>
      <c r="P95" s="33">
        <f>RANK(Tableau262[[#This Row],[SCORE
Final 
2024]],Tableau262[SCORE
Final 
2024],1)</f>
        <v>28</v>
      </c>
    </row>
    <row r="96" spans="2:16" ht="21" customHeight="1">
      <c r="B96" s="66" t="s">
        <v>111</v>
      </c>
      <c r="C96" s="14" t="s">
        <v>112</v>
      </c>
      <c r="D96" s="56" t="s">
        <v>107</v>
      </c>
      <c r="E96" s="68">
        <f>_xlfn.IFNA(VLOOKUP(TRIM(CONCATENATE(Tableau262[[#This Row],[PRENOM]],Tableau262[[#This Row],[NOM]])),'T1'!$C$5:$E$106,3,FALSE),90)</f>
        <v>90</v>
      </c>
      <c r="F96" s="68">
        <f>_xlfn.IFNA(VLOOKUP(TRIM(CONCATENATE(Tableau262[[#This Row],[PRENOM]],Tableau262[[#This Row],[NOM]])),'T2'!$C$5:$E$94,3,FALSE),90)</f>
        <v>90</v>
      </c>
      <c r="G96" s="68">
        <f>_xlfn.IFNA(VLOOKUP(TRIM(CONCATENATE(Tableau262[[#This Row],[PRENOM]],Tableau262[[#This Row],[NOM]])),'T3'!$C$6:$E$115,3,FALSE),90)</f>
        <v>90</v>
      </c>
      <c r="H96" s="68">
        <f>_xlfn.IFNA(VLOOKUP(TRIM(CONCATENATE(Tableau262[[#This Row],[PRENOM]],Tableau262[[#This Row],[NOM]])),'T4'!$C$5:$E$100,3,FALSE),90)</f>
        <v>90</v>
      </c>
      <c r="I96" s="215">
        <f>_xlfn.IFNA(VLOOKUP(TRIM(CONCATENATE(Tableau262[[#This Row],[PRENOM]],Tableau262[[#This Row],[NOM]])),'T5'!$C$5:$E$115,3,FALSE),90)</f>
        <v>83</v>
      </c>
      <c r="J96" s="68">
        <f>_xlfn.IFNA(VLOOKUP(TRIM(CONCATENATE(Tableau262[[#This Row],[PRENOM]],Tableau262[[#This Row],[NOM]])),'T6'!$C$5:$E$126,3,FALSE),90)</f>
        <v>90</v>
      </c>
      <c r="K96" s="68">
        <f>_xlfn.IFNA(VLOOKUP(TRIM(CONCATENATE(Tableau262[[#This Row],[PRENOM]],Tableau262[[#This Row],[NOM]])),'T7'!$C$5:$E$113,3,FALSE),90)</f>
        <v>90</v>
      </c>
      <c r="L96" s="119">
        <f t="shared" si="8"/>
        <v>623</v>
      </c>
      <c r="M96" s="140">
        <f t="shared" si="9"/>
        <v>90</v>
      </c>
      <c r="N96" s="71">
        <f t="shared" si="10"/>
        <v>90</v>
      </c>
      <c r="O96" s="33">
        <f t="shared" si="11"/>
        <v>443</v>
      </c>
      <c r="P96" s="33">
        <f>RANK(Tableau262[[#This Row],[SCORE
Final 
2024]],Tableau262[SCORE
Final 
2024],1)</f>
        <v>29</v>
      </c>
    </row>
    <row r="97" spans="2:16" ht="21" customHeight="1">
      <c r="B97" s="66" t="s">
        <v>18</v>
      </c>
      <c r="C97" s="14" t="s">
        <v>83</v>
      </c>
      <c r="D97" s="56" t="s">
        <v>107</v>
      </c>
      <c r="E97" s="68">
        <f>_xlfn.IFNA(VLOOKUP(TRIM(CONCATENATE(Tableau262[[#This Row],[PRENOM]],Tableau262[[#This Row],[NOM]])),'T1'!$C$5:$E$106,3,FALSE),90)</f>
        <v>90</v>
      </c>
      <c r="F97" s="68">
        <f>_xlfn.IFNA(VLOOKUP(TRIM(CONCATENATE(Tableau262[[#This Row],[PRENOM]],Tableau262[[#This Row],[NOM]])),'T2'!$C$5:$E$94,3,FALSE),90)</f>
        <v>90</v>
      </c>
      <c r="G97" s="68">
        <f>_xlfn.IFNA(VLOOKUP(TRIM(CONCATENATE(Tableau262[[#This Row],[PRENOM]],Tableau262[[#This Row],[NOM]])),'T3'!$C$6:$E$115,3,FALSE),90)</f>
        <v>90</v>
      </c>
      <c r="H97" s="209">
        <f>_xlfn.IFNA(VLOOKUP(TRIM(CONCATENATE(Tableau262[[#This Row],[PRENOM]],Tableau262[[#This Row],[NOM]])),'T4'!$C$5:$E$100,3,FALSE),90)</f>
        <v>85</v>
      </c>
      <c r="I97" s="176">
        <f>_xlfn.IFNA(VLOOKUP(TRIM(CONCATENATE(Tableau262[[#This Row],[PRENOM]],Tableau262[[#This Row],[NOM]])),'T5'!$C$5:$E$115,3,FALSE),90)</f>
        <v>90</v>
      </c>
      <c r="J97" s="68">
        <f>_xlfn.IFNA(VLOOKUP(TRIM(CONCATENATE(Tableau262[[#This Row],[PRENOM]],Tableau262[[#This Row],[NOM]])),'T6'!$C$5:$E$126,3,FALSE),90)</f>
        <v>90</v>
      </c>
      <c r="K97" s="68">
        <f>_xlfn.IFNA(VLOOKUP(TRIM(CONCATENATE(Tableau262[[#This Row],[PRENOM]],Tableau262[[#This Row],[NOM]])),'T7'!$C$5:$E$113,3,FALSE),90)</f>
        <v>90</v>
      </c>
      <c r="L97" s="119">
        <f t="shared" si="8"/>
        <v>625</v>
      </c>
      <c r="M97" s="140">
        <f t="shared" si="9"/>
        <v>90</v>
      </c>
      <c r="N97" s="71">
        <f t="shared" si="10"/>
        <v>90</v>
      </c>
      <c r="O97" s="33">
        <f t="shared" si="11"/>
        <v>445</v>
      </c>
      <c r="P97" s="33">
        <f>RANK(Tableau262[[#This Row],[SCORE
Final 
2024]],Tableau262[SCORE
Final 
2024],1)</f>
        <v>30</v>
      </c>
    </row>
    <row r="98" spans="2:16" ht="21" customHeight="1">
      <c r="B98" s="66" t="s">
        <v>92</v>
      </c>
      <c r="C98" s="14" t="s">
        <v>93</v>
      </c>
      <c r="D98" s="28" t="s">
        <v>24</v>
      </c>
      <c r="E98" s="34">
        <f>_xlfn.IFNA(VLOOKUP(TRIM(CONCATENATE(Tableau262[[#This Row],[PRENOM]],Tableau262[[#This Row],[NOM]])),'T1'!$C$5:$E$106,3,FALSE),90)</f>
        <v>90</v>
      </c>
      <c r="F98" s="68">
        <f>_xlfn.IFNA(VLOOKUP(TRIM(CONCATENATE(Tableau262[[#This Row],[PRENOM]],Tableau262[[#This Row],[NOM]])),'T2'!$C$5:$E$94,3,FALSE),90)</f>
        <v>90</v>
      </c>
      <c r="G98" s="34">
        <f>_xlfn.IFNA(VLOOKUP(TRIM(CONCATENATE(Tableau262[[#This Row],[PRENOM]],Tableau262[[#This Row],[NOM]])),'T3'!$C$6:$E$115,3,FALSE),90)</f>
        <v>90</v>
      </c>
      <c r="H98" s="34">
        <f>_xlfn.IFNA(VLOOKUP(TRIM(CONCATENATE(Tableau262[[#This Row],[PRENOM]],Tableau262[[#This Row],[NOM]])),'T4'!$C$5:$E$100,3,FALSE),90)</f>
        <v>90</v>
      </c>
      <c r="I98" s="176">
        <f>_xlfn.IFNA(VLOOKUP(TRIM(CONCATENATE(Tableau262[[#This Row],[PRENOM]],Tableau262[[#This Row],[NOM]])),'T5'!$C$5:$E$115,3,FALSE),90)</f>
        <v>90</v>
      </c>
      <c r="J98" s="68">
        <f>_xlfn.IFNA(VLOOKUP(TRIM(CONCATENATE(Tableau262[[#This Row],[PRENOM]],Tableau262[[#This Row],[NOM]])),'T6'!$C$5:$E$126,3,FALSE),90)</f>
        <v>90</v>
      </c>
      <c r="K98" s="34">
        <f>_xlfn.IFNA(VLOOKUP(TRIM(CONCATENATE(Tableau262[[#This Row],[PRENOM]],Tableau262[[#This Row],[NOM]])),'T7'!$C$5:$E$113,3,FALSE),90)</f>
        <v>90</v>
      </c>
      <c r="L98" s="35">
        <f t="shared" si="8"/>
        <v>630</v>
      </c>
      <c r="M98" s="54">
        <f t="shared" si="9"/>
        <v>90</v>
      </c>
      <c r="N98" s="39">
        <f t="shared" si="10"/>
        <v>90</v>
      </c>
      <c r="O98" s="33">
        <f t="shared" si="11"/>
        <v>450</v>
      </c>
      <c r="P98" s="33">
        <f>RANK(Tableau262[[#This Row],[SCORE
Final 
2024]],Tableau262[SCORE
Final 
2024],1)</f>
        <v>31</v>
      </c>
    </row>
    <row r="99" spans="2:16" ht="21" customHeight="1">
      <c r="B99" s="66" t="s">
        <v>222</v>
      </c>
      <c r="C99" s="14" t="s">
        <v>233</v>
      </c>
      <c r="D99" s="163" t="s">
        <v>24</v>
      </c>
      <c r="E99" s="186">
        <f>_xlfn.IFNA(VLOOKUP(TRIM(CONCATENATE(Tableau262[[#This Row],[PRENOM]],Tableau262[[#This Row],[NOM]])),'T1'!$C$5:$E$106,3,FALSE),90)</f>
        <v>90</v>
      </c>
      <c r="F99" s="201">
        <f>_xlfn.IFNA(VLOOKUP(TRIM(CONCATENATE(Tableau262[[#This Row],[PRENOM]],Tableau262[[#This Row],[NOM]])),'T2'!$C$5:$E$94,3,FALSE),90)</f>
        <v>90</v>
      </c>
      <c r="G99" s="204">
        <f>_xlfn.IFNA(VLOOKUP(TRIM(CONCATENATE(Tableau262[[#This Row],[PRENOM]],Tableau262[[#This Row],[NOM]])),'T3'!$C$6:$E$115,3,FALSE),90)</f>
        <v>90</v>
      </c>
      <c r="H99" s="209">
        <f>_xlfn.IFNA(VLOOKUP(TRIM(CONCATENATE(Tableau262[[#This Row],[PRENOM]],Tableau262[[#This Row],[NOM]])),'T4'!$C$5:$E$100,3,FALSE),90)</f>
        <v>90</v>
      </c>
      <c r="I99" s="240">
        <f>_xlfn.IFNA(VLOOKUP(TRIM(CONCATENATE(Tableau262[[#This Row],[PRENOM]],Tableau262[[#This Row],[NOM]])),'T5'!$C$5:$E$115,3,FALSE),90)</f>
        <v>90</v>
      </c>
      <c r="J99" s="224">
        <f>_xlfn.IFNA(VLOOKUP(TRIM(CONCATENATE(Tableau262[[#This Row],[PRENOM]],Tableau262[[#This Row],[NOM]])),'T6'!$C$5:$E$126,3,FALSE),90)</f>
        <v>90</v>
      </c>
      <c r="K99" s="68">
        <f>_xlfn.IFNA(VLOOKUP(TRIM(CONCATENATE(Tableau262[[#This Row],[PRENOM]],Tableau262[[#This Row],[NOM]])),'T7'!$C$5:$E$113,3,FALSE),90)</f>
        <v>90</v>
      </c>
      <c r="L99" s="119">
        <f t="shared" si="8"/>
        <v>630</v>
      </c>
      <c r="M99" s="70">
        <f t="shared" si="9"/>
        <v>90</v>
      </c>
      <c r="N99" s="71">
        <f t="shared" si="10"/>
        <v>90</v>
      </c>
      <c r="O99" s="33">
        <f t="shared" si="11"/>
        <v>450</v>
      </c>
      <c r="P99" s="33">
        <f>RANK(Tableau262[[#This Row],[SCORE
Final 
2024]],Tableau262[SCORE
Final 
2024],1)</f>
        <v>31</v>
      </c>
    </row>
    <row r="100" spans="2:16" ht="21" customHeight="1">
      <c r="B100" s="66" t="s">
        <v>167</v>
      </c>
      <c r="C100" s="14" t="s">
        <v>168</v>
      </c>
      <c r="D100" s="127" t="s">
        <v>11</v>
      </c>
      <c r="E100" s="34">
        <f>_xlfn.IFNA(VLOOKUP(TRIM(CONCATENATE(Tableau262[[#This Row],[PRENOM]],Tableau262[[#This Row],[NOM]])),'T1'!$C$5:$E$106,3,FALSE),90)</f>
        <v>90</v>
      </c>
      <c r="F100" s="68">
        <f>_xlfn.IFNA(VLOOKUP(TRIM(CONCATENATE(Tableau262[[#This Row],[PRENOM]],Tableau262[[#This Row],[NOM]])),'T2'!$C$5:$E$94,3,FALSE),90)</f>
        <v>90</v>
      </c>
      <c r="G100" s="34">
        <f>_xlfn.IFNA(VLOOKUP(TRIM(CONCATENATE(Tableau262[[#This Row],[PRENOM]],Tableau262[[#This Row],[NOM]])),'T3'!$C$6:$E$115,3,FALSE),90)</f>
        <v>90</v>
      </c>
      <c r="H100" s="34">
        <f>_xlfn.IFNA(VLOOKUP(TRIM(CONCATENATE(Tableau262[[#This Row],[PRENOM]],Tableau262[[#This Row],[NOM]])),'T4'!$C$5:$E$100,3,FALSE),90)</f>
        <v>90</v>
      </c>
      <c r="I100" s="176">
        <f>_xlfn.IFNA(VLOOKUP(TRIM(CONCATENATE(Tableau262[[#This Row],[PRENOM]],Tableau262[[#This Row],[NOM]])),'T5'!$C$5:$E$115,3,FALSE),90)</f>
        <v>90</v>
      </c>
      <c r="J100" s="68">
        <f>_xlfn.IFNA(VLOOKUP(TRIM(CONCATENATE(Tableau262[[#This Row],[PRENOM]],Tableau262[[#This Row],[NOM]])),'T6'!$C$5:$E$126,3,FALSE),90)</f>
        <v>90</v>
      </c>
      <c r="K100" s="34">
        <f>_xlfn.IFNA(VLOOKUP(TRIM(CONCATENATE(Tableau262[[#This Row],[PRENOM]],Tableau262[[#This Row],[NOM]])),'T7'!$C$5:$E$113,3,FALSE),90)</f>
        <v>90</v>
      </c>
      <c r="L100" s="35">
        <f t="shared" si="8"/>
        <v>630</v>
      </c>
      <c r="M100" s="37">
        <f t="shared" si="9"/>
        <v>90</v>
      </c>
      <c r="N100" s="39">
        <f t="shared" si="10"/>
        <v>90</v>
      </c>
      <c r="O100" s="33">
        <f t="shared" si="11"/>
        <v>450</v>
      </c>
      <c r="P100" s="33">
        <f>RANK(Tableau262[[#This Row],[SCORE
Final 
2024]],Tableau262[SCORE
Final 
2024],1)</f>
        <v>31</v>
      </c>
    </row>
    <row r="102" spans="2:16" ht="21">
      <c r="B102" s="22" t="s">
        <v>86</v>
      </c>
      <c r="C102" s="268" t="s">
        <v>84</v>
      </c>
      <c r="D102" s="269"/>
    </row>
    <row r="103" spans="2:16" ht="21">
      <c r="B103" s="23" t="s">
        <v>87</v>
      </c>
      <c r="C103" s="268" t="s">
        <v>85</v>
      </c>
      <c r="D103" s="269"/>
    </row>
  </sheetData>
  <sheetProtection selectLockedCells="1" selectUnlockedCells="1"/>
  <mergeCells count="3">
    <mergeCell ref="A1:O1"/>
    <mergeCell ref="C102:D102"/>
    <mergeCell ref="C103:D103"/>
  </mergeCells>
  <dataValidations count="1">
    <dataValidation type="list" allowBlank="1" showInputMessage="1" showErrorMessage="1" sqref="C16 B83" xr:uid="{63AD33CE-A4BE-714D-9232-B7BEC3186530}">
      <formula1>NOM</formula1>
    </dataValidation>
  </dataValidations>
  <pageMargins left="0.39374999999999999" right="0.39374999999999999" top="0.39374999999999999" bottom="0.39374999999999999" header="0.51180555555555551" footer="0.51180555555555551"/>
  <pageSetup paperSize="9" scale="35" orientation="portrait" horizontalDpi="4294967292" verticalDpi="4294967292" r:id="rId1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>
    <pageSetUpPr fitToPage="1"/>
  </sheetPr>
  <dimension ref="A1:L20"/>
  <sheetViews>
    <sheetView zoomScale="85" zoomScaleNormal="85" zoomScalePageLayoutView="85" workbookViewId="0">
      <selection activeCell="K8" sqref="K8"/>
    </sheetView>
  </sheetViews>
  <sheetFormatPr baseColWidth="10" defaultRowHeight="17.399999999999999"/>
  <cols>
    <col min="1" max="1" width="8.44140625" style="9" customWidth="1"/>
    <col min="2" max="2" width="32.44140625" style="10" customWidth="1"/>
    <col min="3" max="4" width="15.109375" customWidth="1"/>
    <col min="5" max="8" width="15.109375" style="11" customWidth="1"/>
    <col min="9" max="9" width="15.109375" style="12" customWidth="1"/>
    <col min="10" max="10" width="14.77734375" style="12" customWidth="1"/>
    <col min="11" max="11" width="12.109375" style="11" customWidth="1"/>
    <col min="12" max="12" width="11" style="9" customWidth="1"/>
    <col min="13" max="13" width="10.6640625" bestFit="1" customWidth="1"/>
  </cols>
  <sheetData>
    <row r="1" spans="1:12" ht="77.55" customHeight="1" thickBot="1">
      <c r="A1" s="270" t="s">
        <v>175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</row>
    <row r="2" spans="1:12" ht="12.75" customHeight="1">
      <c r="A2" s="1"/>
      <c r="B2" s="2"/>
      <c r="C2" s="2"/>
      <c r="D2" s="2"/>
      <c r="E2" s="3"/>
      <c r="F2" s="3"/>
      <c r="G2" s="3"/>
      <c r="H2" s="3"/>
      <c r="I2" s="4"/>
      <c r="J2" s="4"/>
      <c r="K2" s="3"/>
      <c r="L2" s="1"/>
    </row>
    <row r="3" spans="1:12">
      <c r="D3" s="11"/>
    </row>
    <row r="5" spans="1:12" ht="33.6">
      <c r="B5" s="135" t="s">
        <v>147</v>
      </c>
      <c r="C5" s="136" t="s">
        <v>24</v>
      </c>
      <c r="D5" s="136" t="s">
        <v>8</v>
      </c>
      <c r="E5" s="136" t="s">
        <v>63</v>
      </c>
      <c r="F5" s="136" t="s">
        <v>155</v>
      </c>
      <c r="G5" s="136" t="s">
        <v>156</v>
      </c>
      <c r="H5" s="136" t="s">
        <v>17</v>
      </c>
      <c r="I5" s="136" t="s">
        <v>11</v>
      </c>
      <c r="J5" s="137" t="s">
        <v>157</v>
      </c>
      <c r="K5" s="157" t="s">
        <v>134</v>
      </c>
      <c r="L5"/>
    </row>
    <row r="6" spans="1:12" ht="23.4">
      <c r="B6" s="133" t="s">
        <v>11</v>
      </c>
      <c r="C6" s="103">
        <f>'T1'!$P7</f>
        <v>175</v>
      </c>
      <c r="D6" s="132">
        <f>'T2'!$P7</f>
        <v>183</v>
      </c>
      <c r="E6" s="132">
        <f>'T3'!$P7</f>
        <v>176</v>
      </c>
      <c r="F6" s="132">
        <f>'T4'!$P7</f>
        <v>194</v>
      </c>
      <c r="G6" s="118">
        <f>'T5'!$P7</f>
        <v>172</v>
      </c>
      <c r="H6" s="118">
        <f>'T6'!$P7</f>
        <v>178</v>
      </c>
      <c r="I6" s="132">
        <f>'T7'!$P7</f>
        <v>165</v>
      </c>
      <c r="J6" s="131">
        <f t="shared" ref="J6:J12" si="0">SUM(C6:I6)</f>
        <v>1243</v>
      </c>
      <c r="K6" s="213">
        <v>1</v>
      </c>
      <c r="L6"/>
    </row>
    <row r="7" spans="1:12" ht="23.4">
      <c r="B7" s="133" t="s">
        <v>107</v>
      </c>
      <c r="C7" s="103">
        <f>'T1'!$P8</f>
        <v>186</v>
      </c>
      <c r="D7" s="132">
        <f>'T2'!$P8</f>
        <v>184</v>
      </c>
      <c r="E7" s="132">
        <f>'T3'!$P8</f>
        <v>173</v>
      </c>
      <c r="F7" s="132">
        <f>'T4'!$P8</f>
        <v>199</v>
      </c>
      <c r="G7" s="118">
        <f>'T5'!$P8</f>
        <v>192</v>
      </c>
      <c r="H7" s="118">
        <f>'T6'!$P8</f>
        <v>205</v>
      </c>
      <c r="I7" s="132">
        <f>'T7'!$P8</f>
        <v>183</v>
      </c>
      <c r="J7" s="131">
        <f t="shared" si="0"/>
        <v>1322</v>
      </c>
      <c r="K7" s="213">
        <v>4</v>
      </c>
      <c r="L7"/>
    </row>
    <row r="8" spans="1:12" ht="23.4">
      <c r="B8" s="133" t="s">
        <v>63</v>
      </c>
      <c r="C8" s="103">
        <f>'T1'!$P12</f>
        <v>194</v>
      </c>
      <c r="D8" s="132">
        <f>'T2'!$P12</f>
        <v>204</v>
      </c>
      <c r="E8" s="132">
        <f>'T3'!$P12</f>
        <v>185</v>
      </c>
      <c r="F8" s="132">
        <f>'T4'!$P12</f>
        <v>203</v>
      </c>
      <c r="G8" s="118">
        <f>'T5'!$P12</f>
        <v>207</v>
      </c>
      <c r="H8" s="118">
        <f>'T6'!$P12</f>
        <v>207</v>
      </c>
      <c r="I8" s="132">
        <f>'T7'!$P12</f>
        <v>201</v>
      </c>
      <c r="J8" s="131">
        <f t="shared" si="0"/>
        <v>1401</v>
      </c>
      <c r="K8" s="213">
        <v>5</v>
      </c>
      <c r="L8"/>
    </row>
    <row r="9" spans="1:12" ht="23.4">
      <c r="B9" s="133" t="s">
        <v>17</v>
      </c>
      <c r="C9" s="103">
        <f>'T1'!$P10</f>
        <v>180</v>
      </c>
      <c r="D9" s="132">
        <f>'T2'!$P10</f>
        <v>193</v>
      </c>
      <c r="E9" s="132">
        <f>'T3'!$P10</f>
        <v>175</v>
      </c>
      <c r="F9" s="132">
        <f>'T4'!$P10</f>
        <v>213</v>
      </c>
      <c r="G9" s="118">
        <f>'T5'!$P10</f>
        <v>187</v>
      </c>
      <c r="H9" s="118">
        <f>'T6'!$P10</f>
        <v>185</v>
      </c>
      <c r="I9" s="132">
        <f>'T7'!$P10</f>
        <v>182</v>
      </c>
      <c r="J9" s="131">
        <f t="shared" si="0"/>
        <v>1315</v>
      </c>
      <c r="K9" s="213">
        <v>2</v>
      </c>
      <c r="L9"/>
    </row>
    <row r="10" spans="1:12" ht="23.4">
      <c r="B10" s="133" t="s">
        <v>8</v>
      </c>
      <c r="C10" s="103">
        <f>'T1'!$P11</f>
        <v>186</v>
      </c>
      <c r="D10" s="132">
        <f>'T2'!$P11</f>
        <v>189</v>
      </c>
      <c r="E10" s="132">
        <f>'T3'!$P11</f>
        <v>174</v>
      </c>
      <c r="F10" s="132">
        <f>'T4'!$P11</f>
        <v>208</v>
      </c>
      <c r="G10" s="118">
        <f>'T5'!$P11</f>
        <v>188</v>
      </c>
      <c r="H10" s="118">
        <f>'T6'!$P11</f>
        <v>192</v>
      </c>
      <c r="I10" s="132">
        <f>'T7'!$P11</f>
        <v>181</v>
      </c>
      <c r="J10" s="131">
        <f t="shared" si="0"/>
        <v>1318</v>
      </c>
      <c r="K10" s="213">
        <v>3</v>
      </c>
      <c r="L10"/>
    </row>
    <row r="11" spans="1:12" ht="23.4">
      <c r="B11" s="133" t="s">
        <v>24</v>
      </c>
      <c r="C11" s="103">
        <f>'T1'!$P13</f>
        <v>183</v>
      </c>
      <c r="D11" s="132">
        <f>'T2'!$P13</f>
        <v>270</v>
      </c>
      <c r="E11" s="132">
        <f>'T3'!$P13</f>
        <v>270</v>
      </c>
      <c r="F11" s="132">
        <f>'T4'!$P13</f>
        <v>238</v>
      </c>
      <c r="G11" s="118">
        <f>'T5'!$P13</f>
        <v>270</v>
      </c>
      <c r="H11" s="118">
        <f>'T6'!$P13</f>
        <v>190</v>
      </c>
      <c r="I11" s="132">
        <f>'T7'!$P13</f>
        <v>183</v>
      </c>
      <c r="J11" s="131">
        <f t="shared" si="0"/>
        <v>1604</v>
      </c>
      <c r="K11" s="213">
        <v>6</v>
      </c>
      <c r="L11"/>
    </row>
    <row r="12" spans="1:12" ht="31.5" customHeight="1">
      <c r="B12" s="134" t="s">
        <v>132</v>
      </c>
      <c r="C12" s="103">
        <f>'T1'!$P9</f>
        <v>270</v>
      </c>
      <c r="D12" s="132">
        <f>'T2'!$P9</f>
        <v>270</v>
      </c>
      <c r="E12" s="132">
        <f>'T3'!$P9</f>
        <v>270</v>
      </c>
      <c r="F12" s="132">
        <f>'T4'!$P9</f>
        <v>270</v>
      </c>
      <c r="G12" s="118">
        <f>'T5'!$P9</f>
        <v>270</v>
      </c>
      <c r="H12" s="118">
        <f>'T6'!$P9</f>
        <v>270</v>
      </c>
      <c r="I12" s="132">
        <f>'T7'!$P9</f>
        <v>270</v>
      </c>
      <c r="J12" s="131">
        <f t="shared" si="0"/>
        <v>1890</v>
      </c>
      <c r="K12" s="213">
        <v>7</v>
      </c>
      <c r="L12"/>
    </row>
    <row r="14" spans="1:12">
      <c r="E14"/>
      <c r="F14"/>
    </row>
    <row r="15" spans="1:12">
      <c r="E15"/>
      <c r="F15"/>
    </row>
    <row r="16" spans="1:12">
      <c r="E16"/>
      <c r="F16"/>
    </row>
    <row r="17" spans="5:6">
      <c r="E17"/>
      <c r="F17"/>
    </row>
    <row r="18" spans="5:6">
      <c r="E18"/>
      <c r="F18"/>
    </row>
    <row r="19" spans="5:6">
      <c r="E19"/>
      <c r="F19"/>
    </row>
    <row r="20" spans="5:6">
      <c r="E20"/>
      <c r="F20"/>
    </row>
  </sheetData>
  <sheetProtection selectLockedCells="1" selectUnlockedCells="1"/>
  <mergeCells count="1">
    <mergeCell ref="A1:L1"/>
  </mergeCells>
  <pageMargins left="0.39374999999999999" right="0.39374999999999999" top="0.39374999999999999" bottom="0.39374999999999999" header="0.51180555555555551" footer="0.51180555555555551"/>
  <pageSetup paperSize="9" scale="52" orientation="portrait" horizontalDpi="4294967292" verticalDpi="4294967292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U77"/>
  <sheetViews>
    <sheetView topLeftCell="A4" workbookViewId="0">
      <selection activeCell="B5" sqref="B5"/>
    </sheetView>
  </sheetViews>
  <sheetFormatPr baseColWidth="10" defaultRowHeight="13.2"/>
  <cols>
    <col min="1" max="1" width="30.109375" bestFit="1" customWidth="1"/>
    <col min="2" max="2" width="19.109375" customWidth="1"/>
    <col min="3" max="3" width="13.109375" hidden="1" customWidth="1"/>
    <col min="4" max="4" width="4.6640625" customWidth="1"/>
    <col min="5" max="5" width="8.44140625" customWidth="1"/>
    <col min="6" max="6" width="8.6640625" customWidth="1"/>
    <col min="7" max="7" width="14.33203125" bestFit="1" customWidth="1"/>
    <col min="8" max="8" width="3" customWidth="1"/>
    <col min="9" max="9" width="3.6640625" customWidth="1"/>
    <col min="10" max="10" width="21.109375" customWidth="1"/>
    <col min="11" max="11" width="18" customWidth="1"/>
    <col min="12" max="12" width="15.33203125" customWidth="1"/>
    <col min="13" max="13" width="13" bestFit="1" customWidth="1"/>
    <col min="14" max="14" width="11" customWidth="1"/>
    <col min="15" max="15" width="12.77734375" hidden="1" customWidth="1"/>
    <col min="16" max="16" width="8.109375" hidden="1" customWidth="1"/>
    <col min="17" max="17" width="6.77734375" hidden="1" customWidth="1"/>
    <col min="18" max="18" width="4.77734375" customWidth="1"/>
    <col min="19" max="19" width="30.44140625" bestFit="1" customWidth="1"/>
    <col min="20" max="20" width="9.44140625" bestFit="1" customWidth="1"/>
    <col min="21" max="21" width="13" bestFit="1" customWidth="1"/>
  </cols>
  <sheetData>
    <row r="1" spans="1:21" ht="67.8" customHeight="1" thickBot="1">
      <c r="A1" s="271" t="s">
        <v>176</v>
      </c>
      <c r="B1" s="272"/>
      <c r="C1" s="272"/>
      <c r="D1" s="272"/>
      <c r="E1" s="272"/>
      <c r="F1" s="272"/>
      <c r="G1" s="272"/>
      <c r="H1" s="272"/>
      <c r="I1" s="273"/>
    </row>
    <row r="3" spans="1:21" ht="19.2" thickBot="1">
      <c r="A3" s="280" t="s">
        <v>11</v>
      </c>
      <c r="B3" s="281"/>
      <c r="C3" s="281"/>
      <c r="D3" s="281"/>
    </row>
    <row r="4" spans="1:21" ht="19.95" customHeight="1" thickBot="1">
      <c r="A4" s="84" t="s">
        <v>128</v>
      </c>
      <c r="B4" s="85" t="s">
        <v>70</v>
      </c>
      <c r="C4" s="86" t="s">
        <v>134</v>
      </c>
      <c r="D4" s="86" t="s">
        <v>141</v>
      </c>
      <c r="E4" s="73" t="s">
        <v>129</v>
      </c>
      <c r="G4" s="89" t="s">
        <v>135</v>
      </c>
    </row>
    <row r="5" spans="1:21" ht="19.95" customHeight="1">
      <c r="A5" s="75" t="s">
        <v>198</v>
      </c>
      <c r="B5" s="75" t="s">
        <v>67</v>
      </c>
      <c r="C5" s="83" t="str">
        <f>TRIM(CONCATENATE(B5,A5))</f>
        <v>ElisabethBRIDIER</v>
      </c>
      <c r="D5" s="94" t="s">
        <v>140</v>
      </c>
      <c r="E5" s="73">
        <v>63</v>
      </c>
      <c r="G5" s="90">
        <f>SMALL(Tableau3[BRUT],1)</f>
        <v>53</v>
      </c>
      <c r="J5" s="274" t="s">
        <v>136</v>
      </c>
      <c r="K5" s="275"/>
      <c r="L5" s="114" t="s">
        <v>137</v>
      </c>
      <c r="M5" s="92" t="s">
        <v>138</v>
      </c>
    </row>
    <row r="6" spans="1:21" ht="19.95" customHeight="1">
      <c r="A6" s="75" t="s">
        <v>117</v>
      </c>
      <c r="B6" s="124" t="s">
        <v>88</v>
      </c>
      <c r="C6" s="83" t="str">
        <f t="shared" ref="C6:C75" si="0">TRIM(CONCATENATE(B6,A6))</f>
        <v>Jean ClaudeCLUZEL</v>
      </c>
      <c r="D6" s="94" t="s">
        <v>139</v>
      </c>
      <c r="E6" s="73">
        <v>64</v>
      </c>
      <c r="G6" s="90">
        <f>SMALL(Tableau3[BRUT],2)</f>
        <v>61</v>
      </c>
      <c r="J6" s="96" t="str">
        <f t="array" ref="J6">IFERROR(INDEX(A$5:A$100, MATCH(1, (D$5:D$100="F")*(E$5:E$100=L6)*(COUNTIF(J$5:J5,A$5:A$100)=0), 0)),"")</f>
        <v>BRIDIER</v>
      </c>
      <c r="K6" s="96" t="str">
        <f t="array" ref="K6">IFERROR(INDEX(B$5:B$100, MATCH(1, (D$5:D$100="F")*(E$5:E$100=L6)*(COUNTIF(L$5:L5,E$5:E$100)=0), 0)),"")</f>
        <v>Elisabeth</v>
      </c>
      <c r="L6" s="115">
        <f t="array" ref="L6">IFERROR(SMALL(IF(D$6:D$100="F",E$6:E$100), ROW(A1)),"")</f>
        <v>63</v>
      </c>
      <c r="M6" s="93">
        <v>1</v>
      </c>
      <c r="O6" s="109" t="s">
        <v>147</v>
      </c>
      <c r="P6" s="110" t="s">
        <v>148</v>
      </c>
      <c r="Q6" s="111" t="s">
        <v>138</v>
      </c>
      <c r="S6" s="105" t="s">
        <v>147</v>
      </c>
      <c r="T6" s="117" t="s">
        <v>148</v>
      </c>
      <c r="U6" s="107" t="s">
        <v>138</v>
      </c>
    </row>
    <row r="7" spans="1:21" ht="19.95" customHeight="1">
      <c r="A7" s="75" t="s">
        <v>9</v>
      </c>
      <c r="B7" s="124" t="s">
        <v>10</v>
      </c>
      <c r="C7" s="83" t="str">
        <f t="shared" si="0"/>
        <v>AlainJEANDREAU</v>
      </c>
      <c r="D7" s="94" t="s">
        <v>139</v>
      </c>
      <c r="E7" s="73">
        <v>53</v>
      </c>
      <c r="G7" s="90">
        <f>SMALL(Tableau3[BRUT],3)</f>
        <v>61</v>
      </c>
      <c r="J7" s="97" t="str">
        <f t="array" ref="J7">IFERROR(INDEX(A$6:A$100, MATCH(1, (D$6:D$100="F")*(E$6:E$100=L7)*(COUNTIF(J$5:J6,A$6:A$100)=0), 0)),"")</f>
        <v>BOURNAT</v>
      </c>
      <c r="K7" s="97" t="str">
        <f t="array" ref="K7">IFERROR(INDEX(B$6:B$100, MATCH(1, (D$6:D$100="F")*(E$6:E$100=L7)*(COUNTIF(K$5:K6,B$6:B$100)=0), 0)),"")</f>
        <v>Christiane</v>
      </c>
      <c r="L7" s="115">
        <f t="array" ref="L7">IFERROR(SMALL(IF((D$5:D$100="F")*(COUNTIF(L$5:L5,E$5:E$100)=0), E$5:E$100), ROW(A2)),"")</f>
        <v>63</v>
      </c>
      <c r="M7" s="93">
        <v>2</v>
      </c>
      <c r="O7" s="108" t="str">
        <f>A3</f>
        <v>RIOM</v>
      </c>
      <c r="P7" s="103">
        <f>SUM(G5:G7)</f>
        <v>175</v>
      </c>
      <c r="Q7" s="93">
        <f>RANK(P7, P$7:P$13, 1) + COUNTIF(P$7:P7, P7) - 1</f>
        <v>1</v>
      </c>
      <c r="S7" s="106" t="str">
        <f>INDEX(O$7:O$13, MATCH(ROW(A1), Q$7:Q$13, 0))</f>
        <v>RIOM</v>
      </c>
      <c r="T7" s="118">
        <f>INDEX(P$7:P$13, MATCH(ROW(A1), Q$7:Q$13, 0))</f>
        <v>175</v>
      </c>
      <c r="U7" s="93">
        <f>ROW(A1)</f>
        <v>1</v>
      </c>
    </row>
    <row r="8" spans="1:21" ht="19.95" customHeight="1">
      <c r="A8" s="75" t="s">
        <v>130</v>
      </c>
      <c r="B8" s="124" t="s">
        <v>131</v>
      </c>
      <c r="C8" s="167" t="str">
        <f>TRIM(CONCATENATE(B8,A8))</f>
        <v>RolandJUHLIEN</v>
      </c>
      <c r="D8" s="94" t="s">
        <v>139</v>
      </c>
      <c r="E8" s="73">
        <v>61</v>
      </c>
      <c r="O8" s="108" t="str">
        <f>A15</f>
        <v>GAZELEC CLERMONT</v>
      </c>
      <c r="P8" s="103">
        <f>SUM(G15:G17)</f>
        <v>186</v>
      </c>
      <c r="Q8" s="93">
        <f>RANK(P8, P$7:P$13, 1) + COUNTIF(P$7:P8, P8) - 1</f>
        <v>4</v>
      </c>
      <c r="S8" s="106" t="str">
        <f t="shared" ref="S8:S13" si="1">INDEX(O$7:O$13, MATCH(ROW(A2), Q$7:Q$13, 0))</f>
        <v>VAL D'AUZON</v>
      </c>
      <c r="T8" s="118">
        <f t="shared" ref="T8:T13" si="2">INDEX(P$7:P$13, MATCH(ROW(A2), Q$7:Q$13, 0))</f>
        <v>180</v>
      </c>
      <c r="U8" s="93">
        <f t="shared" ref="U8:U13" si="3">ROW(A2)</f>
        <v>2</v>
      </c>
    </row>
    <row r="9" spans="1:21" ht="19.95" customHeight="1">
      <c r="A9" s="75" t="s">
        <v>43</v>
      </c>
      <c r="B9" s="124" t="s">
        <v>37</v>
      </c>
      <c r="C9" s="167" t="str">
        <f>TRIM(CONCATENATE(B9,A9))</f>
        <v>JackyMACHAJ</v>
      </c>
      <c r="D9" s="94" t="s">
        <v>139</v>
      </c>
      <c r="E9" s="73">
        <v>62</v>
      </c>
      <c r="O9" s="108" t="str">
        <f>A27</f>
        <v>GAZELEC MOULINS/VICHY</v>
      </c>
      <c r="P9" s="103">
        <f>SUM(G27:G29)</f>
        <v>270</v>
      </c>
      <c r="Q9" s="93">
        <f>RANK(P9, P$7:P$13, 1) + COUNTIF(P$7:P9, P9) - 1</f>
        <v>7</v>
      </c>
      <c r="S9" s="106" t="str">
        <f t="shared" si="1"/>
        <v>MONTPENSIER</v>
      </c>
      <c r="T9" s="118">
        <f t="shared" si="2"/>
        <v>183</v>
      </c>
      <c r="U9" s="93">
        <f t="shared" si="3"/>
        <v>3</v>
      </c>
    </row>
    <row r="10" spans="1:21" ht="19.95" customHeight="1">
      <c r="A10" s="75" t="s">
        <v>41</v>
      </c>
      <c r="B10" s="124" t="s">
        <v>42</v>
      </c>
      <c r="C10" s="83" t="str">
        <f t="shared" si="0"/>
        <v>ChristianMOULIN</v>
      </c>
      <c r="D10" s="94" t="s">
        <v>139</v>
      </c>
      <c r="E10" s="73">
        <v>61</v>
      </c>
      <c r="J10" s="274" t="s">
        <v>142</v>
      </c>
      <c r="K10" s="275"/>
      <c r="L10" s="114" t="s">
        <v>137</v>
      </c>
      <c r="M10" s="92" t="s">
        <v>138</v>
      </c>
      <c r="O10" s="108" t="str">
        <f>A35</f>
        <v>VAL D'AUZON</v>
      </c>
      <c r="P10" s="103">
        <f>SUM(G35:G37)</f>
        <v>180</v>
      </c>
      <c r="Q10" s="93">
        <f>RANK(P10, P$7:P$13, 1) + COUNTIF(P$7:P10, P10) - 1</f>
        <v>2</v>
      </c>
      <c r="S10" s="106" t="str">
        <f t="shared" si="1"/>
        <v>GAZELEC CLERMONT</v>
      </c>
      <c r="T10" s="118">
        <f t="shared" si="2"/>
        <v>186</v>
      </c>
      <c r="U10" s="93">
        <f t="shared" si="3"/>
        <v>4</v>
      </c>
    </row>
    <row r="11" spans="1:21" ht="19.95" customHeight="1">
      <c r="A11" s="75" t="s">
        <v>113</v>
      </c>
      <c r="B11" s="124" t="s">
        <v>37</v>
      </c>
      <c r="C11" s="83" t="str">
        <f t="shared" si="0"/>
        <v>JackyPEGEON</v>
      </c>
      <c r="D11" s="94" t="s">
        <v>139</v>
      </c>
      <c r="E11" s="73">
        <v>66</v>
      </c>
      <c r="J11" s="98" t="str">
        <f t="array" ref="J11">IFERROR(INDEX(A$5:A$100, MATCH(1, (D$5:D$100="M")*(E$5:E$100=L11)*(COUNTIF(J$10:J10,A$5:A$100)=0), 0)),"")</f>
        <v>JEANDREAU</v>
      </c>
      <c r="K11" s="98" t="str">
        <f t="array" ref="K11">IFERROR(INDEX(B$5:B$100, MATCH(1, (D$5:D$100="M")*(E$5:E$100=L11)*(COUNTIF(L$10:L10,E$5:E$100)=0), 0)),"")</f>
        <v>Alain</v>
      </c>
      <c r="L11" s="116">
        <f t="array" ref="L11">IFERROR(SMALL(IF(D$5:D$100="M",E$5:E$100), ROW(A1)),"")</f>
        <v>53</v>
      </c>
      <c r="M11" s="95">
        <v>1</v>
      </c>
      <c r="O11" s="108" t="str">
        <f>A47</f>
        <v>CHARADE</v>
      </c>
      <c r="P11" s="103">
        <f>SUM(G47:G49)</f>
        <v>186</v>
      </c>
      <c r="Q11" s="93">
        <f>RANK(P11, P$7:P$13, 1) + COUNTIF(P$7:P11, P11) - 1</f>
        <v>5</v>
      </c>
      <c r="S11" s="106" t="str">
        <f t="shared" si="1"/>
        <v>CHARADE</v>
      </c>
      <c r="T11" s="118">
        <f t="shared" si="2"/>
        <v>186</v>
      </c>
      <c r="U11" s="93">
        <f t="shared" si="3"/>
        <v>5</v>
      </c>
    </row>
    <row r="12" spans="1:21" ht="19.95" customHeight="1">
      <c r="J12" s="98" t="str">
        <f t="array" ref="J12">IFERROR(INDEX(A$5:A$100, MATCH(1, (D$5:D$100="M")*(E$5:E$100=L12)*(COUNTIF(J$10:J11,A$5:A$100)=0), 0)),"")</f>
        <v>BRUNEL</v>
      </c>
      <c r="K12" s="98" t="str">
        <f t="array" ref="K12">IFERROR(INDEX(B$5:B$100, MATCH(1, (D$5:D$100="M")*(E$5:E$100=L12)*(COUNTIF(K$10:K11,B$5:B$100)=0), 0)),"")</f>
        <v>Robert</v>
      </c>
      <c r="L12" s="116">
        <f t="array" ref="L12">IFERROR(SMALL(IF(D$5:D$100="M",E$5:E$100), ROW(A2)),"")</f>
        <v>57</v>
      </c>
      <c r="M12" s="95">
        <v>2</v>
      </c>
      <c r="O12" s="108" t="str">
        <f>A58</f>
        <v>MAURIAC</v>
      </c>
      <c r="P12" s="103">
        <f>SUM(G58:G60)</f>
        <v>194</v>
      </c>
      <c r="Q12" s="93">
        <f>RANK(P12, P$7:P$13, 1) + COUNTIF(P$7:P12, P12) - 1</f>
        <v>6</v>
      </c>
      <c r="S12" s="106" t="str">
        <f t="shared" si="1"/>
        <v>MAURIAC</v>
      </c>
      <c r="T12" s="118">
        <f t="shared" si="2"/>
        <v>194</v>
      </c>
      <c r="U12" s="93">
        <f t="shared" si="3"/>
        <v>6</v>
      </c>
    </row>
    <row r="13" spans="1:21" ht="19.95" customHeight="1">
      <c r="A13" s="76"/>
      <c r="B13" s="76"/>
      <c r="C13" s="83" t="str">
        <f t="shared" si="0"/>
        <v/>
      </c>
      <c r="D13" s="76"/>
      <c r="E13" s="76"/>
      <c r="J13" s="98" t="str">
        <f t="array" ref="J13">IFERROR(INDEX(A$5:A$100, MATCH(1, (D$5:D$100="M")*(E$5:E$100=L13)*(COUNTIF(J$10:J12,A$5:A$100)=0), 0)),"")</f>
        <v>PERRIER</v>
      </c>
      <c r="K13" s="98" t="str">
        <f t="array" ref="K13">IFERROR(INDEX(B$6:B$100, MATCH(1, (D$6:D$100="M")*(E$6:E$100=L13)*(COUNTIF(K$10:K12,B$6:B$100)=0), 0)),"")</f>
        <v>Serge</v>
      </c>
      <c r="L13" s="116">
        <f t="array" ref="L13">IFERROR(SMALL(IF(D$5:D$100="M",E$5:E$100), ROW(A3)),"")</f>
        <v>58</v>
      </c>
      <c r="M13" s="95">
        <v>3</v>
      </c>
      <c r="O13" s="112" t="str">
        <f>A68</f>
        <v>MONTPENSIER</v>
      </c>
      <c r="P13" s="113">
        <f>SUM(G68:G70)</f>
        <v>183</v>
      </c>
      <c r="Q13" s="93">
        <f>RANK(P13, P$7:P$13, 1) + COUNTIF(P$7:P13, P13) - 1</f>
        <v>3</v>
      </c>
      <c r="S13" s="106" t="str">
        <f t="shared" si="1"/>
        <v>GAZELEC MOULINS/VICHY</v>
      </c>
      <c r="T13" s="118">
        <f t="shared" si="2"/>
        <v>270</v>
      </c>
      <c r="U13" s="93">
        <f t="shared" si="3"/>
        <v>7</v>
      </c>
    </row>
    <row r="14" spans="1:21" ht="19.95" customHeight="1">
      <c r="A14" s="76"/>
      <c r="B14" s="76"/>
      <c r="C14" s="83" t="str">
        <f t="shared" si="0"/>
        <v/>
      </c>
      <c r="D14" s="76"/>
      <c r="E14" s="76"/>
      <c r="G14" s="89" t="s">
        <v>135</v>
      </c>
    </row>
    <row r="15" spans="1:21" ht="19.95" customHeight="1">
      <c r="A15" s="282" t="s">
        <v>107</v>
      </c>
      <c r="B15" s="283"/>
      <c r="C15" s="283"/>
      <c r="D15" s="283"/>
      <c r="G15" s="90">
        <f>SMALL(Tableau4[BRUT],1)</f>
        <v>61</v>
      </c>
    </row>
    <row r="16" spans="1:21" ht="19.95" customHeight="1" thickBot="1">
      <c r="A16" s="84" t="s">
        <v>128</v>
      </c>
      <c r="B16" s="85" t="s">
        <v>70</v>
      </c>
      <c r="C16" s="86" t="s">
        <v>134</v>
      </c>
      <c r="D16" s="86" t="s">
        <v>141</v>
      </c>
      <c r="E16" s="73" t="s">
        <v>129</v>
      </c>
      <c r="G16" s="90">
        <f>SMALL(Tableau4[BRUT],2)</f>
        <v>62</v>
      </c>
      <c r="J16" s="276" t="s">
        <v>143</v>
      </c>
      <c r="K16" s="277"/>
      <c r="L16" s="91" t="s">
        <v>144</v>
      </c>
      <c r="M16" s="99" t="s">
        <v>145</v>
      </c>
    </row>
    <row r="17" spans="1:13" ht="19.95" customHeight="1">
      <c r="A17" s="123" t="s">
        <v>6</v>
      </c>
      <c r="B17" s="124" t="s">
        <v>7</v>
      </c>
      <c r="C17" s="83" t="str">
        <f t="shared" si="0"/>
        <v>RobertBOURGIER</v>
      </c>
      <c r="D17" s="94" t="s">
        <v>139</v>
      </c>
      <c r="E17" s="74">
        <v>64</v>
      </c>
      <c r="G17" s="90">
        <f>SMALL(Tableau4[BRUT],3)</f>
        <v>63</v>
      </c>
      <c r="J17" s="96" t="s">
        <v>118</v>
      </c>
      <c r="K17" s="96" t="s">
        <v>120</v>
      </c>
      <c r="L17" s="100">
        <v>2.96</v>
      </c>
      <c r="M17" s="76"/>
    </row>
    <row r="18" spans="1:13" ht="19.95" customHeight="1">
      <c r="A18" s="123" t="s">
        <v>18</v>
      </c>
      <c r="B18" s="124" t="s">
        <v>160</v>
      </c>
      <c r="C18" s="83" t="str">
        <f t="shared" si="0"/>
        <v>Gérard CAMBET</v>
      </c>
      <c r="D18" s="94" t="s">
        <v>139</v>
      </c>
      <c r="E18" s="74">
        <v>63</v>
      </c>
      <c r="J18" s="101"/>
      <c r="K18" s="101"/>
      <c r="L18" s="101"/>
      <c r="M18" s="76"/>
    </row>
    <row r="19" spans="1:13" ht="19.95" customHeight="1">
      <c r="A19" s="123" t="s">
        <v>77</v>
      </c>
      <c r="B19" s="124" t="s">
        <v>44</v>
      </c>
      <c r="C19" s="83" t="str">
        <f t="shared" si="0"/>
        <v>GillesFROMAGE</v>
      </c>
      <c r="D19" s="94" t="s">
        <v>139</v>
      </c>
      <c r="E19" s="74">
        <v>70</v>
      </c>
      <c r="J19" s="276" t="s">
        <v>146</v>
      </c>
      <c r="K19" s="277"/>
      <c r="L19" s="91" t="s">
        <v>144</v>
      </c>
      <c r="M19" s="102" t="s">
        <v>145</v>
      </c>
    </row>
    <row r="20" spans="1:13" ht="19.95" customHeight="1">
      <c r="A20" s="123" t="s">
        <v>15</v>
      </c>
      <c r="B20" s="124" t="s">
        <v>16</v>
      </c>
      <c r="C20" s="83" t="str">
        <f t="shared" si="0"/>
        <v>Jean MarcHESEL</v>
      </c>
      <c r="D20" s="94" t="s">
        <v>139</v>
      </c>
      <c r="E20" s="74">
        <v>62</v>
      </c>
      <c r="J20" s="98" t="s">
        <v>197</v>
      </c>
      <c r="K20" s="98" t="s">
        <v>88</v>
      </c>
      <c r="L20" s="103">
        <v>1.1200000000000001</v>
      </c>
      <c r="M20" s="104"/>
    </row>
    <row r="21" spans="1:13" ht="19.95" customHeight="1">
      <c r="A21" s="123" t="s">
        <v>54</v>
      </c>
      <c r="B21" s="124" t="s">
        <v>12</v>
      </c>
      <c r="C21" s="83" t="str">
        <f t="shared" si="0"/>
        <v>MichelMANOUVRIER</v>
      </c>
      <c r="D21" s="94" t="s">
        <v>139</v>
      </c>
      <c r="E21" s="74">
        <v>64</v>
      </c>
    </row>
    <row r="22" spans="1:13" ht="19.95" customHeight="1">
      <c r="A22" s="123" t="s">
        <v>56</v>
      </c>
      <c r="B22" s="123" t="s">
        <v>57</v>
      </c>
      <c r="C22" s="83" t="str">
        <f t="shared" si="0"/>
        <v>CorinneTIXIER</v>
      </c>
      <c r="D22" s="94" t="s">
        <v>140</v>
      </c>
      <c r="E22" s="74">
        <v>76</v>
      </c>
    </row>
    <row r="23" spans="1:13" ht="19.95" customHeight="1">
      <c r="A23" s="123" t="s">
        <v>74</v>
      </c>
      <c r="B23" s="124" t="s">
        <v>44</v>
      </c>
      <c r="C23" s="83" t="str">
        <f t="shared" si="0"/>
        <v>GillesVESCOVI</v>
      </c>
      <c r="D23" s="94" t="s">
        <v>139</v>
      </c>
      <c r="E23" s="74">
        <v>61</v>
      </c>
    </row>
    <row r="24" spans="1:13" ht="19.95" customHeight="1">
      <c r="A24" s="123" t="s">
        <v>74</v>
      </c>
      <c r="B24" s="123" t="s">
        <v>78</v>
      </c>
      <c r="C24" s="83" t="str">
        <f t="shared" si="0"/>
        <v>RégineVESCOVI</v>
      </c>
      <c r="D24" s="94" t="s">
        <v>140</v>
      </c>
      <c r="E24" s="74">
        <v>68</v>
      </c>
    </row>
    <row r="25" spans="1:13" ht="19.95" customHeight="1">
      <c r="A25" s="76"/>
      <c r="B25" s="76"/>
      <c r="C25" s="83" t="str">
        <f t="shared" si="0"/>
        <v/>
      </c>
      <c r="D25" s="76"/>
      <c r="E25" s="76"/>
    </row>
    <row r="26" spans="1:13" ht="19.95" customHeight="1">
      <c r="A26" s="76"/>
      <c r="B26" s="76"/>
      <c r="C26" s="83" t="str">
        <f t="shared" si="0"/>
        <v/>
      </c>
      <c r="D26" s="76"/>
      <c r="E26" s="76"/>
      <c r="G26" s="89" t="s">
        <v>135</v>
      </c>
    </row>
    <row r="27" spans="1:13" ht="19.95" customHeight="1">
      <c r="A27" s="284" t="s">
        <v>132</v>
      </c>
      <c r="B27" s="285"/>
      <c r="C27" s="285"/>
      <c r="D27" s="285"/>
      <c r="G27" s="90">
        <f>SMALL(Tableau5[BRUT],1)</f>
        <v>90</v>
      </c>
    </row>
    <row r="28" spans="1:13" ht="19.95" customHeight="1" thickBot="1">
      <c r="A28" s="84" t="s">
        <v>128</v>
      </c>
      <c r="B28" s="85" t="s">
        <v>70</v>
      </c>
      <c r="C28" s="86" t="s">
        <v>134</v>
      </c>
      <c r="D28" s="86" t="s">
        <v>141</v>
      </c>
      <c r="E28" s="73" t="s">
        <v>129</v>
      </c>
      <c r="G28" s="90">
        <f>SMALL(Tableau5[BRUT],2)</f>
        <v>90</v>
      </c>
    </row>
    <row r="29" spans="1:13" ht="19.95" customHeight="1">
      <c r="A29" s="141"/>
      <c r="B29" s="141"/>
      <c r="C29" s="83" t="str">
        <f t="shared" si="0"/>
        <v/>
      </c>
      <c r="D29" s="94"/>
      <c r="E29" s="78">
        <v>90</v>
      </c>
      <c r="G29" s="90">
        <f>SMALL(Tableau5[BRUT],3)</f>
        <v>90</v>
      </c>
    </row>
    <row r="30" spans="1:13" ht="19.95" customHeight="1">
      <c r="A30" s="141"/>
      <c r="B30" s="141"/>
      <c r="C30" s="83" t="str">
        <f t="shared" si="0"/>
        <v/>
      </c>
      <c r="D30" s="94"/>
      <c r="E30" s="74">
        <v>90</v>
      </c>
    </row>
    <row r="31" spans="1:13" ht="19.95" customHeight="1">
      <c r="A31" s="165"/>
      <c r="B31" s="141"/>
      <c r="C31" s="83" t="str">
        <f t="shared" si="0"/>
        <v/>
      </c>
      <c r="D31" s="94"/>
      <c r="E31" s="74">
        <v>90</v>
      </c>
    </row>
    <row r="32" spans="1:13" ht="19.95" customHeight="1">
      <c r="A32" s="165"/>
      <c r="B32" s="141"/>
      <c r="C32" s="83" t="str">
        <f t="shared" si="0"/>
        <v/>
      </c>
      <c r="D32" s="94"/>
      <c r="E32" s="74">
        <v>90</v>
      </c>
    </row>
    <row r="33" spans="1:7" ht="19.95" customHeight="1">
      <c r="A33" s="76"/>
      <c r="B33" s="76"/>
      <c r="C33" s="83" t="str">
        <f t="shared" si="0"/>
        <v/>
      </c>
      <c r="D33" s="76"/>
      <c r="E33" s="76"/>
    </row>
    <row r="34" spans="1:7" ht="19.95" customHeight="1">
      <c r="A34" s="76"/>
      <c r="B34" s="76"/>
      <c r="C34" s="83" t="str">
        <f t="shared" si="0"/>
        <v/>
      </c>
      <c r="D34" s="76"/>
      <c r="E34" s="76"/>
      <c r="G34" s="89" t="s">
        <v>135</v>
      </c>
    </row>
    <row r="35" spans="1:7" ht="19.95" customHeight="1" thickBot="1">
      <c r="A35" s="286" t="s">
        <v>17</v>
      </c>
      <c r="B35" s="287"/>
      <c r="C35" s="287"/>
      <c r="D35" s="287"/>
      <c r="G35" s="90">
        <f>SMALL(Tableau6[BRUT],1)</f>
        <v>57</v>
      </c>
    </row>
    <row r="36" spans="1:7" ht="19.95" customHeight="1" thickBot="1">
      <c r="A36" s="84" t="s">
        <v>128</v>
      </c>
      <c r="B36" s="85" t="s">
        <v>70</v>
      </c>
      <c r="C36" s="86" t="s">
        <v>134</v>
      </c>
      <c r="D36" s="86" t="s">
        <v>141</v>
      </c>
      <c r="E36" s="73" t="s">
        <v>129</v>
      </c>
      <c r="G36" s="90">
        <f>SMALL(Tableau6[BRUT],2)</f>
        <v>59</v>
      </c>
    </row>
    <row r="37" spans="1:7" ht="19.95" customHeight="1">
      <c r="A37" s="80" t="s">
        <v>114</v>
      </c>
      <c r="B37" s="168" t="s">
        <v>7</v>
      </c>
      <c r="C37" s="83" t="str">
        <f t="shared" si="0"/>
        <v>RobertBRUNEL</v>
      </c>
      <c r="D37" s="94" t="s">
        <v>139</v>
      </c>
      <c r="E37" s="74">
        <v>57</v>
      </c>
      <c r="G37" s="90">
        <f>SMALL(Tableau6[BRUT],3)</f>
        <v>64</v>
      </c>
    </row>
    <row r="38" spans="1:7" ht="19.95" customHeight="1">
      <c r="A38" s="80" t="s">
        <v>79</v>
      </c>
      <c r="B38" s="80" t="s">
        <v>50</v>
      </c>
      <c r="C38" s="83" t="str">
        <f t="shared" si="0"/>
        <v>MichelleCIBERT GOTHON</v>
      </c>
      <c r="D38" s="94" t="s">
        <v>140</v>
      </c>
      <c r="E38" s="74">
        <v>67</v>
      </c>
    </row>
    <row r="39" spans="1:7" ht="19.95" customHeight="1">
      <c r="A39" s="80" t="s">
        <v>58</v>
      </c>
      <c r="B39" s="168" t="s">
        <v>40</v>
      </c>
      <c r="C39" s="83" t="str">
        <f t="shared" si="0"/>
        <v>PhilippeCUVIER</v>
      </c>
      <c r="D39" s="94" t="s">
        <v>139</v>
      </c>
      <c r="E39" s="74">
        <v>67</v>
      </c>
    </row>
    <row r="40" spans="1:7" ht="19.95" customHeight="1">
      <c r="A40" s="80" t="s">
        <v>190</v>
      </c>
      <c r="B40" s="168" t="s">
        <v>105</v>
      </c>
      <c r="C40" s="83" t="str">
        <f t="shared" si="0"/>
        <v>BrunoFLEURY</v>
      </c>
      <c r="D40" s="94" t="s">
        <v>139</v>
      </c>
      <c r="E40" s="74">
        <v>59</v>
      </c>
    </row>
    <row r="41" spans="1:7" ht="19.95" customHeight="1">
      <c r="A41" s="80" t="s">
        <v>191</v>
      </c>
      <c r="B41" s="80" t="s">
        <v>192</v>
      </c>
      <c r="C41" s="83" t="str">
        <f t="shared" si="0"/>
        <v>Ghislaine LARIVIERE</v>
      </c>
      <c r="D41" s="94" t="s">
        <v>140</v>
      </c>
      <c r="E41" s="74">
        <v>73</v>
      </c>
    </row>
    <row r="42" spans="1:7" ht="19.95" customHeight="1">
      <c r="A42" s="80" t="s">
        <v>191</v>
      </c>
      <c r="B42" s="168" t="s">
        <v>68</v>
      </c>
      <c r="C42" s="83" t="str">
        <f t="shared" si="0"/>
        <v>Jean PierreLARIVIERE</v>
      </c>
      <c r="D42" s="94" t="s">
        <v>139</v>
      </c>
      <c r="E42" s="74">
        <v>64</v>
      </c>
    </row>
    <row r="43" spans="1:7" ht="19.95" customHeight="1">
      <c r="A43" s="80" t="s">
        <v>65</v>
      </c>
      <c r="B43" s="168" t="s">
        <v>27</v>
      </c>
      <c r="C43" s="83" t="str">
        <f t="shared" si="0"/>
        <v>DanielPIERROT</v>
      </c>
      <c r="D43" s="94" t="s">
        <v>139</v>
      </c>
      <c r="E43" s="74">
        <v>65</v>
      </c>
    </row>
    <row r="44" spans="1:7" ht="19.95" customHeight="1">
      <c r="A44" s="80" t="s">
        <v>59</v>
      </c>
      <c r="B44" s="168" t="s">
        <v>60</v>
      </c>
      <c r="C44" s="83" t="str">
        <f t="shared" si="0"/>
        <v>ClaudeMERCIER</v>
      </c>
      <c r="D44" s="94" t="s">
        <v>139</v>
      </c>
      <c r="E44" s="74">
        <v>68</v>
      </c>
    </row>
    <row r="45" spans="1:7" ht="19.95" customHeight="1">
      <c r="A45" s="76"/>
      <c r="B45" s="76"/>
      <c r="C45" s="83" t="str">
        <f t="shared" si="0"/>
        <v/>
      </c>
      <c r="D45" s="76"/>
      <c r="E45" s="76"/>
    </row>
    <row r="46" spans="1:7" ht="19.95" customHeight="1">
      <c r="A46" s="76"/>
      <c r="B46" s="76"/>
      <c r="C46" s="83" t="str">
        <f t="shared" si="0"/>
        <v/>
      </c>
      <c r="D46" s="76"/>
      <c r="E46" s="76"/>
      <c r="G46" s="89" t="s">
        <v>135</v>
      </c>
    </row>
    <row r="47" spans="1:7" ht="19.95" customHeight="1" thickBot="1">
      <c r="A47" s="288" t="s">
        <v>8</v>
      </c>
      <c r="B47" s="289"/>
      <c r="C47" s="289"/>
      <c r="D47" s="289"/>
      <c r="G47" s="90">
        <f>SMALL(Tableau7[BRUT],1)</f>
        <v>58</v>
      </c>
    </row>
    <row r="48" spans="1:7" ht="19.95" customHeight="1" thickBot="1">
      <c r="A48" s="84" t="s">
        <v>128</v>
      </c>
      <c r="B48" s="85" t="s">
        <v>70</v>
      </c>
      <c r="C48" s="86" t="s">
        <v>134</v>
      </c>
      <c r="D48" s="86" t="s">
        <v>141</v>
      </c>
      <c r="E48" s="73" t="s">
        <v>129</v>
      </c>
      <c r="G48" s="90">
        <f>SMALL(Tableau7[BRUT],2)</f>
        <v>64</v>
      </c>
    </row>
    <row r="49" spans="1:7" ht="19.95" customHeight="1">
      <c r="A49" s="170" t="s">
        <v>20</v>
      </c>
      <c r="B49" s="171" t="s">
        <v>21</v>
      </c>
      <c r="C49" s="83" t="str">
        <f t="shared" si="0"/>
        <v>MarcGRAVELIN</v>
      </c>
      <c r="D49" s="94" t="s">
        <v>139</v>
      </c>
      <c r="E49" s="74">
        <v>64</v>
      </c>
      <c r="G49" s="90">
        <f>SMALL(Tableau7[BRUT],3)</f>
        <v>64</v>
      </c>
    </row>
    <row r="50" spans="1:7" ht="19.95" customHeight="1">
      <c r="A50" s="170" t="s">
        <v>91</v>
      </c>
      <c r="B50" s="171" t="s">
        <v>44</v>
      </c>
      <c r="C50" s="83" t="str">
        <f t="shared" si="0"/>
        <v>GillesJOSSIER</v>
      </c>
      <c r="D50" s="94" t="s">
        <v>139</v>
      </c>
      <c r="E50" s="74">
        <v>64</v>
      </c>
    </row>
    <row r="51" spans="1:7" ht="19.95" customHeight="1">
      <c r="A51" s="170" t="s">
        <v>13</v>
      </c>
      <c r="B51" s="171" t="s">
        <v>14</v>
      </c>
      <c r="C51" s="167" t="str">
        <f>TRIM(CONCATENATE(B51,A51))</f>
        <v>JeanLOUBAT</v>
      </c>
      <c r="D51" s="94" t="s">
        <v>139</v>
      </c>
      <c r="E51" s="74">
        <v>68</v>
      </c>
    </row>
    <row r="52" spans="1:7" ht="19.95" customHeight="1">
      <c r="A52" s="170" t="s">
        <v>73</v>
      </c>
      <c r="B52" s="170" t="s">
        <v>67</v>
      </c>
      <c r="C52" s="83" t="str">
        <f t="shared" si="0"/>
        <v>ElisabethMEYNIAL</v>
      </c>
      <c r="D52" s="94" t="s">
        <v>140</v>
      </c>
      <c r="E52" s="74">
        <v>65</v>
      </c>
    </row>
    <row r="53" spans="1:7" ht="19.95" customHeight="1">
      <c r="A53" s="170" t="s">
        <v>32</v>
      </c>
      <c r="B53" s="170" t="s">
        <v>47</v>
      </c>
      <c r="C53" s="83" t="str">
        <f t="shared" si="0"/>
        <v>HuguettePERRIER</v>
      </c>
      <c r="D53" s="94" t="s">
        <v>140</v>
      </c>
      <c r="E53" s="74">
        <v>68</v>
      </c>
    </row>
    <row r="54" spans="1:7" ht="19.95" customHeight="1">
      <c r="A54" s="170" t="s">
        <v>32</v>
      </c>
      <c r="B54" s="171" t="s">
        <v>33</v>
      </c>
      <c r="C54" s="83" t="str">
        <f t="shared" si="0"/>
        <v>SergePERRIER</v>
      </c>
      <c r="D54" s="94" t="s">
        <v>139</v>
      </c>
      <c r="E54" s="74">
        <v>58</v>
      </c>
    </row>
    <row r="55" spans="1:7" ht="19.95" customHeight="1">
      <c r="A55" s="170" t="s">
        <v>110</v>
      </c>
      <c r="B55" s="171" t="s">
        <v>33</v>
      </c>
      <c r="C55" s="83" t="str">
        <f t="shared" si="0"/>
        <v>SergeROBERT</v>
      </c>
      <c r="D55" s="94" t="s">
        <v>139</v>
      </c>
      <c r="E55" s="74">
        <v>65</v>
      </c>
    </row>
    <row r="56" spans="1:7" ht="19.95" customHeight="1">
      <c r="A56" s="76"/>
      <c r="B56" s="76"/>
      <c r="C56" s="83" t="str">
        <f t="shared" si="0"/>
        <v/>
      </c>
      <c r="D56" s="76"/>
      <c r="E56" s="81"/>
    </row>
    <row r="57" spans="1:7" ht="19.95" customHeight="1">
      <c r="A57" s="76"/>
      <c r="B57" s="76"/>
      <c r="C57" s="83" t="str">
        <f t="shared" si="0"/>
        <v/>
      </c>
      <c r="D57" s="76"/>
      <c r="E57" s="76"/>
      <c r="G57" s="89" t="s">
        <v>135</v>
      </c>
    </row>
    <row r="58" spans="1:7" ht="19.95" customHeight="1" thickBot="1">
      <c r="A58" s="290" t="s">
        <v>63</v>
      </c>
      <c r="B58" s="291"/>
      <c r="C58" s="291"/>
      <c r="D58" s="291"/>
      <c r="G58" s="90">
        <f>SMALL(Tableau8[BRUT],1)</f>
        <v>64</v>
      </c>
    </row>
    <row r="59" spans="1:7" ht="19.95" customHeight="1" thickBot="1">
      <c r="A59" s="88" t="s">
        <v>128</v>
      </c>
      <c r="B59" s="85" t="s">
        <v>70</v>
      </c>
      <c r="C59" s="86" t="s">
        <v>134</v>
      </c>
      <c r="D59" s="86" t="s">
        <v>141</v>
      </c>
      <c r="E59" s="73" t="s">
        <v>129</v>
      </c>
      <c r="G59" s="90">
        <f>SMALL(Tableau8[BRUT],2)</f>
        <v>64</v>
      </c>
    </row>
    <row r="60" spans="1:7" ht="19.95" customHeight="1" thickBot="1">
      <c r="A60" s="169" t="s">
        <v>118</v>
      </c>
      <c r="B60" s="98" t="s">
        <v>40</v>
      </c>
      <c r="C60" s="83" t="str">
        <f t="shared" si="0"/>
        <v>PhilippeCARRER</v>
      </c>
      <c r="D60" s="94" t="s">
        <v>139</v>
      </c>
      <c r="E60" s="87">
        <v>64</v>
      </c>
      <c r="G60" s="90">
        <f>SMALL(Tableau8[BRUT],3)</f>
        <v>66</v>
      </c>
    </row>
    <row r="61" spans="1:7" ht="19.95" customHeight="1" thickBot="1">
      <c r="A61" s="169" t="s">
        <v>118</v>
      </c>
      <c r="B61" s="169" t="s">
        <v>120</v>
      </c>
      <c r="C61" s="83" t="str">
        <f t="shared" si="0"/>
        <v>JacquelineCARRER</v>
      </c>
      <c r="D61" s="94" t="s">
        <v>140</v>
      </c>
      <c r="E61" s="87">
        <v>66</v>
      </c>
    </row>
    <row r="62" spans="1:7" ht="19.95" customHeight="1">
      <c r="A62" s="169" t="s">
        <v>25</v>
      </c>
      <c r="B62" s="98" t="s">
        <v>12</v>
      </c>
      <c r="C62" s="83" t="str">
        <f t="shared" si="0"/>
        <v>MichelLABAUNE</v>
      </c>
      <c r="D62" s="94" t="s">
        <v>139</v>
      </c>
      <c r="E62" s="87">
        <v>68</v>
      </c>
    </row>
    <row r="63" spans="1:7" ht="19.95" customHeight="1" thickBot="1">
      <c r="A63" s="169" t="s">
        <v>199</v>
      </c>
      <c r="B63" s="172" t="s">
        <v>200</v>
      </c>
      <c r="C63" s="173" t="str">
        <f>TRIM(CONCATENATE(B63,A63))</f>
        <v>NoëlLAURENT</v>
      </c>
      <c r="D63" s="174" t="s">
        <v>139</v>
      </c>
      <c r="E63" s="175">
        <v>64</v>
      </c>
    </row>
    <row r="64" spans="1:7" ht="19.95" customHeight="1" thickBot="1">
      <c r="A64" s="169" t="s">
        <v>51</v>
      </c>
      <c r="B64" s="169" t="s">
        <v>52</v>
      </c>
      <c r="C64" s="83" t="str">
        <f t="shared" si="0"/>
        <v>Marie HélèneMONCHAUX</v>
      </c>
      <c r="D64" s="94" t="s">
        <v>140</v>
      </c>
      <c r="E64" s="87">
        <v>79</v>
      </c>
    </row>
    <row r="65" spans="1:7" ht="19.2" customHeight="1">
      <c r="A65" s="169" t="s">
        <v>62</v>
      </c>
      <c r="B65" s="169" t="s">
        <v>55</v>
      </c>
      <c r="C65" s="83" t="str">
        <f t="shared" si="0"/>
        <v>MartineVACHOT</v>
      </c>
      <c r="D65" s="94" t="s">
        <v>140</v>
      </c>
      <c r="E65" s="87">
        <v>74</v>
      </c>
    </row>
    <row r="66" spans="1:7" ht="19.95" customHeight="1">
      <c r="A66" s="76"/>
      <c r="B66" s="76"/>
      <c r="C66" s="83" t="str">
        <f t="shared" ref="C66" si="4">TRIM(CONCATENATE(B66,A66))</f>
        <v/>
      </c>
      <c r="D66" s="76"/>
      <c r="E66" s="76"/>
    </row>
    <row r="67" spans="1:7" ht="19.95" customHeight="1">
      <c r="A67" s="76"/>
      <c r="B67" s="76"/>
      <c r="C67" s="83" t="str">
        <f t="shared" si="0"/>
        <v/>
      </c>
      <c r="D67" s="76"/>
      <c r="E67" s="76"/>
      <c r="G67" s="89" t="s">
        <v>135</v>
      </c>
    </row>
    <row r="68" spans="1:7" ht="19.95" customHeight="1" thickBot="1">
      <c r="A68" s="278" t="s">
        <v>24</v>
      </c>
      <c r="B68" s="279"/>
      <c r="C68" s="279"/>
      <c r="D68" s="279"/>
      <c r="G68" s="90">
        <f>SMALL(Tableau9[BRUT],1)</f>
        <v>59</v>
      </c>
    </row>
    <row r="69" spans="1:7" ht="19.95" customHeight="1" thickBot="1">
      <c r="A69" s="84" t="s">
        <v>128</v>
      </c>
      <c r="B69" s="85" t="s">
        <v>70</v>
      </c>
      <c r="C69" s="86" t="s">
        <v>134</v>
      </c>
      <c r="D69" s="86" t="s">
        <v>141</v>
      </c>
      <c r="E69" s="73" t="s">
        <v>129</v>
      </c>
      <c r="G69" s="90">
        <f>SMALL(Tableau9[BRUT],2)</f>
        <v>61</v>
      </c>
    </row>
    <row r="70" spans="1:7" ht="19.95" customHeight="1" thickBot="1">
      <c r="A70" s="82" t="s">
        <v>193</v>
      </c>
      <c r="B70" s="82" t="s">
        <v>194</v>
      </c>
      <c r="C70" s="83" t="str">
        <f t="shared" si="0"/>
        <v>YvetteBARON</v>
      </c>
      <c r="D70" s="94" t="s">
        <v>140</v>
      </c>
      <c r="E70" s="78">
        <v>69</v>
      </c>
      <c r="G70" s="90">
        <f>SMALL(Tableau9[BRUT],3)</f>
        <v>63</v>
      </c>
    </row>
    <row r="71" spans="1:7" ht="19.95" customHeight="1" thickBot="1">
      <c r="A71" s="82" t="s">
        <v>115</v>
      </c>
      <c r="B71" s="82" t="s">
        <v>116</v>
      </c>
      <c r="C71" s="83" t="str">
        <f t="shared" si="0"/>
        <v>ChristianeBOURNAT</v>
      </c>
      <c r="D71" s="94" t="s">
        <v>140</v>
      </c>
      <c r="E71" s="78">
        <v>63</v>
      </c>
    </row>
    <row r="72" spans="1:7" ht="19.95" customHeight="1" thickBot="1">
      <c r="A72" s="82" t="s">
        <v>195</v>
      </c>
      <c r="B72" s="96" t="s">
        <v>40</v>
      </c>
      <c r="C72" s="167" t="str">
        <f>TRIM(CONCATENATE(B72,A72))</f>
        <v>PhilippeDUCHER</v>
      </c>
      <c r="D72" s="94" t="s">
        <v>139</v>
      </c>
      <c r="E72" s="78">
        <v>59</v>
      </c>
    </row>
    <row r="73" spans="1:7" ht="19.95" customHeight="1" thickBot="1">
      <c r="A73" s="82" t="s">
        <v>125</v>
      </c>
      <c r="B73" s="82" t="s">
        <v>196</v>
      </c>
      <c r="C73" s="167" t="str">
        <f>TRIM(CONCATENATE(B73,A73))</f>
        <v>AgnésFLECHE</v>
      </c>
      <c r="D73" s="94" t="s">
        <v>140</v>
      </c>
      <c r="E73" s="78">
        <v>79</v>
      </c>
    </row>
    <row r="74" spans="1:7" ht="19.95" customHeight="1" thickBot="1">
      <c r="A74" s="82" t="s">
        <v>102</v>
      </c>
      <c r="B74" s="82" t="s">
        <v>55</v>
      </c>
      <c r="C74" s="83" t="str">
        <f t="shared" si="0"/>
        <v>MartineMOUTH</v>
      </c>
      <c r="D74" s="94" t="s">
        <v>140</v>
      </c>
      <c r="E74" s="78">
        <v>69</v>
      </c>
    </row>
    <row r="75" spans="1:7" ht="19.95" customHeight="1" thickBot="1">
      <c r="A75" s="82" t="s">
        <v>197</v>
      </c>
      <c r="B75" s="96" t="s">
        <v>88</v>
      </c>
      <c r="C75" s="83" t="str">
        <f t="shared" si="0"/>
        <v>Jean ClaudeRICHARD</v>
      </c>
      <c r="D75" s="94" t="s">
        <v>139</v>
      </c>
      <c r="E75" s="78">
        <v>61</v>
      </c>
    </row>
    <row r="76" spans="1:7" ht="19.2" thickBot="1">
      <c r="A76" s="82" t="s">
        <v>96</v>
      </c>
      <c r="B76" s="82" t="s">
        <v>49</v>
      </c>
      <c r="C76" s="83" t="str">
        <f t="shared" ref="C76:C77" si="5">TRIM(CONCATENATE(B76,A76))</f>
        <v>SylvieRUSZNIEWSKI</v>
      </c>
      <c r="D76" s="94" t="s">
        <v>140</v>
      </c>
      <c r="E76" s="78">
        <v>71</v>
      </c>
    </row>
    <row r="77" spans="1:7" ht="18.600000000000001">
      <c r="A77" s="82" t="s">
        <v>133</v>
      </c>
      <c r="B77" s="82" t="s">
        <v>95</v>
      </c>
      <c r="C77" s="83" t="str">
        <f t="shared" si="5"/>
        <v>OdileVIDAL</v>
      </c>
      <c r="D77" s="94" t="s">
        <v>140</v>
      </c>
      <c r="E77" s="78">
        <v>73</v>
      </c>
    </row>
  </sheetData>
  <mergeCells count="12">
    <mergeCell ref="A1:I1"/>
    <mergeCell ref="J10:K10"/>
    <mergeCell ref="J16:K16"/>
    <mergeCell ref="J19:K19"/>
    <mergeCell ref="A68:D68"/>
    <mergeCell ref="J5:K5"/>
    <mergeCell ref="A3:D3"/>
    <mergeCell ref="A15:D15"/>
    <mergeCell ref="A27:D27"/>
    <mergeCell ref="A35:D35"/>
    <mergeCell ref="A47:D47"/>
    <mergeCell ref="A58:D58"/>
  </mergeCells>
  <dataValidations count="2">
    <dataValidation type="list" allowBlank="1" showInputMessage="1" showErrorMessage="1" sqref="J17" xr:uid="{00000000-0002-0000-0200-000000000000}">
      <formula1>NOMBIS</formula1>
    </dataValidation>
    <dataValidation type="list" allowBlank="1" showInputMessage="1" showErrorMessage="1" sqref="A37:A44" xr:uid="{00000000-0002-0000-0200-000001000000}">
      <formula1>NOM</formula1>
    </dataValidation>
  </dataValidations>
  <pageMargins left="0.7" right="0.7" top="0.75" bottom="0.75" header="0.3" footer="0.3"/>
  <pageSetup paperSize="9" orientation="portrait" r:id="rId1"/>
  <legacyDrawing r:id="rId2"/>
  <tableParts count="8"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X72"/>
  <sheetViews>
    <sheetView workbookViewId="0">
      <selection activeCell="C5" sqref="C5"/>
    </sheetView>
  </sheetViews>
  <sheetFormatPr baseColWidth="10" defaultRowHeight="13.2"/>
  <cols>
    <col min="1" max="1" width="30.109375" bestFit="1" customWidth="1"/>
    <col min="2" max="2" width="19.109375" customWidth="1"/>
    <col min="3" max="3" width="23.109375" customWidth="1"/>
    <col min="4" max="4" width="4.6640625" customWidth="1"/>
    <col min="5" max="5" width="8.44140625" customWidth="1"/>
    <col min="6" max="6" width="8.6640625" customWidth="1"/>
    <col min="7" max="7" width="14.33203125" bestFit="1" customWidth="1"/>
    <col min="8" max="8" width="3" customWidth="1"/>
    <col min="9" max="9" width="3.6640625" customWidth="1"/>
    <col min="10" max="10" width="21.109375" customWidth="1"/>
    <col min="11" max="11" width="18" customWidth="1"/>
    <col min="12" max="12" width="15.33203125" customWidth="1"/>
    <col min="13" max="13" width="13" bestFit="1" customWidth="1"/>
    <col min="14" max="14" width="4.44140625" customWidth="1"/>
    <col min="15" max="15" width="27.33203125" customWidth="1"/>
    <col min="16" max="16" width="9.77734375" customWidth="1"/>
    <col min="17" max="17" width="14.109375" customWidth="1"/>
    <col min="18" max="18" width="4" customWidth="1"/>
    <col min="19" max="19" width="26.6640625" customWidth="1"/>
    <col min="20" max="20" width="9.44140625" bestFit="1" customWidth="1"/>
    <col min="21" max="21" width="13" bestFit="1" customWidth="1"/>
  </cols>
  <sheetData>
    <row r="1" spans="1:24" ht="67.8" customHeight="1" thickBot="1">
      <c r="A1" s="271" t="s">
        <v>184</v>
      </c>
      <c r="B1" s="272"/>
      <c r="C1" s="272"/>
      <c r="D1" s="272"/>
      <c r="E1" s="272"/>
      <c r="F1" s="272"/>
      <c r="G1" s="272"/>
      <c r="H1" s="272"/>
      <c r="I1" s="273"/>
    </row>
    <row r="3" spans="1:24" ht="19.2" thickBot="1">
      <c r="A3" s="280" t="s">
        <v>11</v>
      </c>
      <c r="B3" s="281"/>
      <c r="C3" s="281"/>
      <c r="D3" s="281"/>
    </row>
    <row r="4" spans="1:24" ht="19.95" customHeight="1" thickBot="1">
      <c r="A4" s="84" t="s">
        <v>128</v>
      </c>
      <c r="B4" s="85" t="s">
        <v>70</v>
      </c>
      <c r="C4" s="86" t="s">
        <v>134</v>
      </c>
      <c r="D4" s="86" t="s">
        <v>141</v>
      </c>
      <c r="E4" s="73" t="s">
        <v>129</v>
      </c>
      <c r="G4" s="89" t="s">
        <v>135</v>
      </c>
    </row>
    <row r="5" spans="1:24" ht="19.95" customHeight="1">
      <c r="A5" s="151" t="s">
        <v>198</v>
      </c>
      <c r="B5" s="151" t="s">
        <v>67</v>
      </c>
      <c r="C5" s="83" t="str">
        <f>TRIM(CONCATENATE(B5,A5))</f>
        <v>ElisabethBRIDIER</v>
      </c>
      <c r="D5" s="94" t="s">
        <v>140</v>
      </c>
      <c r="E5" s="197">
        <v>79</v>
      </c>
      <c r="G5" s="90">
        <f>SMALL(Tableau313[BRUT],1)</f>
        <v>57</v>
      </c>
      <c r="J5" s="274" t="s">
        <v>136</v>
      </c>
      <c r="K5" s="275"/>
      <c r="L5" s="114" t="s">
        <v>137</v>
      </c>
      <c r="M5" s="92" t="s">
        <v>138</v>
      </c>
    </row>
    <row r="6" spans="1:24" ht="19.95" customHeight="1">
      <c r="A6" s="151" t="s">
        <v>9</v>
      </c>
      <c r="B6" s="152" t="s">
        <v>10</v>
      </c>
      <c r="C6" s="83" t="str">
        <f t="shared" ref="C6:C10" si="0">TRIM(CONCATENATE(B6,A6))</f>
        <v>AlainJEANDREAU</v>
      </c>
      <c r="D6" s="94" t="s">
        <v>139</v>
      </c>
      <c r="E6" s="197">
        <v>57</v>
      </c>
      <c r="G6" s="90">
        <f>SMALL(Tableau313[BRUT],2)</f>
        <v>62</v>
      </c>
      <c r="J6" s="96" t="str">
        <f t="array" ref="J6">IFERROR(INDEX(A$5:A$94, MATCH(1, (D$5:D$94="F")*(E$5:E$94=L6)*(COUNTIF(J$5:J5,A$5:A$94)=0), 0)),"")</f>
        <v>VESCOVI</v>
      </c>
      <c r="K6" s="96" t="str">
        <f t="array" ref="K6">IFERROR(INDEX(B$5:B$94, MATCH(1, (D$5:D$94="F")*(E$5:E$94=L6)*(COUNTIF(L$5:L5,E$5:E$94)=0), 0)),"")</f>
        <v>Régine</v>
      </c>
      <c r="L6" s="115">
        <f t="array" ref="L6">IFERROR(SMALL(IF(D$6:D$94="F",E$6:E$94), ROW(A1)),"")</f>
        <v>67</v>
      </c>
      <c r="M6" s="93">
        <v>1</v>
      </c>
      <c r="O6" s="109" t="s">
        <v>147</v>
      </c>
      <c r="P6" s="110" t="s">
        <v>148</v>
      </c>
      <c r="Q6" s="111" t="s">
        <v>138</v>
      </c>
      <c r="S6" s="105" t="s">
        <v>147</v>
      </c>
      <c r="T6" s="117" t="s">
        <v>148</v>
      </c>
      <c r="U6" s="107" t="s">
        <v>138</v>
      </c>
    </row>
    <row r="7" spans="1:24" ht="19.95" customHeight="1">
      <c r="A7" s="151" t="s">
        <v>43</v>
      </c>
      <c r="B7" s="152" t="s">
        <v>37</v>
      </c>
      <c r="C7" s="83" t="str">
        <f t="shared" si="0"/>
        <v>JackyMACHAJ</v>
      </c>
      <c r="D7" s="94" t="s">
        <v>139</v>
      </c>
      <c r="E7" s="197">
        <v>64</v>
      </c>
      <c r="G7" s="90">
        <f>SMALL(Tableau313[BRUT],3)</f>
        <v>64</v>
      </c>
      <c r="J7" s="97" t="str">
        <f t="array" ref="J7">IFERROR(INDEX(A$6:A$94, MATCH(1, (D$6:D$94="F")*(E$6:E$94=L7)*(COUNTIF(J$5:J6,A$6:A$94)=0), 0)),"")</f>
        <v>PERRIER</v>
      </c>
      <c r="K7" s="97" t="str">
        <f t="array" ref="K7">IFERROR(INDEX(B$6:B$94, MATCH(1, (D$6:D$94="F")*(E$6:E$94=L7)*(COUNTIF(K$5:K6,B$6:B$94)=0), 0)),"")</f>
        <v>Huguette</v>
      </c>
      <c r="L7" s="115">
        <f t="array" ref="L7">IFERROR(SMALL(IF((D$5:D$94="F")*(COUNTIF(L$5:L5,E$5:E$94)=0), E$5:E$94), ROW(A2)),"")</f>
        <v>68</v>
      </c>
      <c r="M7" s="93">
        <v>2</v>
      </c>
      <c r="O7" s="108" t="str">
        <f>A3</f>
        <v>RIOM</v>
      </c>
      <c r="P7" s="103">
        <f>SUM(G5:G7)</f>
        <v>183</v>
      </c>
      <c r="Q7" s="93">
        <f>RANK(P7, P$7:P$13, 1) + COUNTIF(P$7:P7, P7) - 1</f>
        <v>1</v>
      </c>
      <c r="S7" s="106" t="str">
        <f>INDEX(O$7:O$13, MATCH(ROW(A1), Q$7:Q$13, 0))</f>
        <v>RIOM</v>
      </c>
      <c r="T7" s="118">
        <f>INDEX(P$7:P$13, MATCH(ROW(A1), Q$7:Q$13, 0))</f>
        <v>183</v>
      </c>
      <c r="U7" s="93">
        <f>ROW(A1)</f>
        <v>1</v>
      </c>
      <c r="V7">
        <v>179</v>
      </c>
      <c r="W7">
        <f>T7+V7</f>
        <v>362</v>
      </c>
      <c r="X7">
        <v>1</v>
      </c>
    </row>
    <row r="8" spans="1:24" ht="19.95" customHeight="1">
      <c r="A8" s="151" t="s">
        <v>171</v>
      </c>
      <c r="B8" s="152" t="s">
        <v>33</v>
      </c>
      <c r="C8" s="83" t="str">
        <f t="shared" si="0"/>
        <v>SergeMARCUCCI</v>
      </c>
      <c r="D8" s="94" t="s">
        <v>139</v>
      </c>
      <c r="E8" s="197">
        <v>66</v>
      </c>
      <c r="O8" s="108" t="str">
        <f>A16</f>
        <v>GAZELEC CLERMONT</v>
      </c>
      <c r="P8" s="103">
        <f>SUM(G18:G20)</f>
        <v>184</v>
      </c>
      <c r="Q8" s="93">
        <f>RANK(P8, P$7:P$13, 1) + COUNTIF(P$7:P8, P8) - 1</f>
        <v>2</v>
      </c>
      <c r="S8" s="106" t="str">
        <f t="shared" ref="S8:S13" si="1">INDEX(O$7:O$13, MATCH(ROW(A2), Q$7:Q$13, 0))</f>
        <v>GAZELEC CLERMONT</v>
      </c>
      <c r="T8" s="118">
        <f t="shared" ref="T8:T13" si="2">INDEX(P$7:P$13, MATCH(ROW(A2), Q$7:Q$13, 0))</f>
        <v>184</v>
      </c>
      <c r="U8" s="93">
        <f t="shared" ref="U8:U13" si="3">ROW(A2)</f>
        <v>2</v>
      </c>
      <c r="V8">
        <v>185</v>
      </c>
      <c r="W8">
        <f t="shared" ref="W8:W13" si="4">T8+V8</f>
        <v>369</v>
      </c>
      <c r="X8">
        <v>2</v>
      </c>
    </row>
    <row r="9" spans="1:24" ht="19.95" customHeight="1">
      <c r="A9" s="151" t="s">
        <v>41</v>
      </c>
      <c r="B9" s="152" t="s">
        <v>42</v>
      </c>
      <c r="C9" s="83" t="str">
        <f t="shared" si="0"/>
        <v>ChristianMOULIN</v>
      </c>
      <c r="D9" s="94" t="s">
        <v>139</v>
      </c>
      <c r="E9" s="197">
        <v>62</v>
      </c>
      <c r="L9">
        <v>77</v>
      </c>
      <c r="O9" s="108" t="str">
        <f>A26</f>
        <v>GAZELEC M/VICHY</v>
      </c>
      <c r="P9" s="103">
        <f>SUM(G28:G30)</f>
        <v>270</v>
      </c>
      <c r="Q9" s="93">
        <f>RANK(P9, P$7:P$13, 1) + COUNTIF(P$7:P9, P9) - 1</f>
        <v>6</v>
      </c>
      <c r="S9" s="106" t="str">
        <f t="shared" si="1"/>
        <v>CHARADE</v>
      </c>
      <c r="T9" s="118">
        <f t="shared" si="2"/>
        <v>189</v>
      </c>
      <c r="U9" s="93">
        <f t="shared" si="3"/>
        <v>3</v>
      </c>
      <c r="V9">
        <v>190</v>
      </c>
      <c r="W9">
        <f t="shared" si="4"/>
        <v>379</v>
      </c>
      <c r="X9">
        <v>3</v>
      </c>
    </row>
    <row r="10" spans="1:24" ht="19.95" customHeight="1">
      <c r="A10" s="151" t="s">
        <v>113</v>
      </c>
      <c r="B10" s="152" t="s">
        <v>37</v>
      </c>
      <c r="C10" s="83" t="str">
        <f t="shared" si="0"/>
        <v>JackyPEGEON</v>
      </c>
      <c r="D10" s="94" t="s">
        <v>139</v>
      </c>
      <c r="E10" s="197">
        <v>66</v>
      </c>
      <c r="J10" s="274" t="s">
        <v>142</v>
      </c>
      <c r="K10" s="275"/>
      <c r="L10" s="114" t="s">
        <v>137</v>
      </c>
      <c r="M10" s="92" t="s">
        <v>138</v>
      </c>
      <c r="O10" s="108" t="str">
        <f>A33</f>
        <v>VAL D'AUZON</v>
      </c>
      <c r="P10" s="103">
        <f>SUM(G35:G37)</f>
        <v>193</v>
      </c>
      <c r="Q10" s="93">
        <f>RANK(P10, P$7:P$13, 1) + COUNTIF(P$7:P10, P10) - 1</f>
        <v>4</v>
      </c>
      <c r="S10" s="106" t="str">
        <f t="shared" si="1"/>
        <v>VAL D'AUZON</v>
      </c>
      <c r="T10" s="118">
        <f t="shared" si="2"/>
        <v>193</v>
      </c>
      <c r="U10" s="93">
        <f t="shared" si="3"/>
        <v>4</v>
      </c>
      <c r="V10">
        <v>184</v>
      </c>
      <c r="W10">
        <f t="shared" si="4"/>
        <v>377</v>
      </c>
      <c r="X10">
        <v>3</v>
      </c>
    </row>
    <row r="11" spans="1:24" ht="19.95" customHeight="1">
      <c r="A11" s="151" t="s">
        <v>45</v>
      </c>
      <c r="B11" s="151" t="s">
        <v>48</v>
      </c>
      <c r="C11" s="130" t="str">
        <f>TRIM(CONCATENATE(B11,A11))</f>
        <v>AnnieROSSI</v>
      </c>
      <c r="D11" s="94" t="s">
        <v>140</v>
      </c>
      <c r="E11" s="197">
        <v>73</v>
      </c>
      <c r="J11" s="98" t="str">
        <f t="array" ref="J11">IFERROR(INDEX(A$5:A$94, MATCH(1, (D$5:D$94="M")*(E$5:E$94=L11)*(COUNTIF(J$10:J10,A$5:A$94)=0), 0)),"")</f>
        <v>JEANDREAU</v>
      </c>
      <c r="K11" s="98" t="str">
        <f t="array" ref="K11">IFERROR(INDEX(B$5:B$94, MATCH(1, (D$5:D$94="M")*(E$5:E$94=L11)*(COUNTIF(L$10:L10,E$5:E$94)=0), 0)),"")</f>
        <v>Alain</v>
      </c>
      <c r="L11" s="116">
        <f t="array" ref="L11">IFERROR(SMALL(IF(D$5:D$94="M",E$5:E$94), ROW(A1)),"")</f>
        <v>57</v>
      </c>
      <c r="M11" s="95">
        <v>1</v>
      </c>
      <c r="O11" s="108" t="str">
        <f>A49</f>
        <v>CHARADE</v>
      </c>
      <c r="P11" s="103">
        <f>SUM(G51:G53)</f>
        <v>189</v>
      </c>
      <c r="Q11" s="93">
        <f>RANK(P11, P$7:P$13, 1) + COUNTIF(P$7:P11, P11) - 1</f>
        <v>3</v>
      </c>
      <c r="S11" s="106" t="str">
        <f t="shared" si="1"/>
        <v>MAURIAC</v>
      </c>
      <c r="T11" s="118">
        <f t="shared" si="2"/>
        <v>204</v>
      </c>
      <c r="U11" s="93">
        <f t="shared" si="3"/>
        <v>5</v>
      </c>
      <c r="V11">
        <v>185</v>
      </c>
      <c r="W11">
        <f t="shared" si="4"/>
        <v>389</v>
      </c>
      <c r="X11">
        <v>4</v>
      </c>
    </row>
    <row r="12" spans="1:24" ht="19.95" customHeight="1">
      <c r="J12" s="98" t="str">
        <f t="array" ref="J12">IFERROR(INDEX(A$5:A$94, MATCH(1, (D$5:D$94="M")*(E$5:E$94=L12)*(COUNTIF(J$10:J11,A$5:A$94)=0), 0)),"")</f>
        <v>VESCOVI</v>
      </c>
      <c r="K12" s="98" t="str">
        <f t="array" ref="K12">IFERROR(INDEX(B$5:B$94, MATCH(1, (D$5:D$94="M")*(E$5:E$94=L12)*(COUNTIF(K$10:K11,B$5:B$94)=0), 0)),"")</f>
        <v>Gilles</v>
      </c>
      <c r="L12" s="116">
        <f t="array" ref="L12">IFERROR(SMALL(IF(D$5:D$94="M",E$5:E$94), ROW(A2)),"")</f>
        <v>59</v>
      </c>
      <c r="M12" s="95">
        <v>2</v>
      </c>
      <c r="O12" s="108" t="str">
        <f>A59</f>
        <v>MAURIAC</v>
      </c>
      <c r="P12" s="103">
        <f>SUM(G61:G63)</f>
        <v>204</v>
      </c>
      <c r="Q12" s="93">
        <f>RANK(P12, P$7:P$13, 1) + COUNTIF(P$7:P12, P12) - 1</f>
        <v>5</v>
      </c>
      <c r="S12" s="106" t="str">
        <f t="shared" si="1"/>
        <v>GAZELEC M/VICHY</v>
      </c>
      <c r="T12" s="118">
        <f t="shared" si="2"/>
        <v>270</v>
      </c>
      <c r="U12" s="93">
        <f t="shared" si="3"/>
        <v>6</v>
      </c>
      <c r="V12">
        <v>204</v>
      </c>
      <c r="W12">
        <f t="shared" si="4"/>
        <v>474</v>
      </c>
      <c r="X12">
        <v>5</v>
      </c>
    </row>
    <row r="13" spans="1:24" ht="19.95" customHeight="1">
      <c r="J13" s="98" t="str">
        <f t="array" ref="J13">IFERROR(INDEX(A$5:A$94, MATCH(1, (D$5:D$94="M")*(E$5:E$94=L13)*(COUNTIF(J$10:J12,A$5:A$94)=0), 0)),"")</f>
        <v>PERRIER</v>
      </c>
      <c r="K13" s="98" t="str">
        <f t="array" ref="K13">IFERROR(INDEX(B$6:B$94, MATCH(1, (D$6:D$94="M")*(E$6:E$94=L13)*(COUNTIF(K$10:K12,B$6:B$94)=0), 0)),"")</f>
        <v>Serge</v>
      </c>
      <c r="L13" s="116">
        <f t="array" ref="L13">IFERROR(SMALL(IF(D$5:D$94="M",E$5:E$94), ROW(A3)),"")</f>
        <v>59</v>
      </c>
      <c r="M13" s="95">
        <v>3</v>
      </c>
      <c r="O13" s="112" t="str">
        <f>A68</f>
        <v>MONTPENSIER</v>
      </c>
      <c r="P13" s="113">
        <f>SUM(G70:G72)</f>
        <v>270</v>
      </c>
      <c r="Q13" s="93">
        <f>RANK(P13, P$7:P$13, 1) + COUNTIF(P$7:P13, P13) - 1</f>
        <v>7</v>
      </c>
      <c r="S13" s="106" t="str">
        <f t="shared" si="1"/>
        <v>MONTPENSIER</v>
      </c>
      <c r="T13" s="118">
        <f t="shared" si="2"/>
        <v>270</v>
      </c>
      <c r="U13" s="93">
        <f t="shared" si="3"/>
        <v>7</v>
      </c>
      <c r="V13">
        <v>270</v>
      </c>
      <c r="W13">
        <f t="shared" si="4"/>
        <v>540</v>
      </c>
      <c r="X13">
        <v>6</v>
      </c>
    </row>
    <row r="14" spans="1:24" ht="19.95" customHeight="1">
      <c r="A14" s="76"/>
      <c r="B14" s="76"/>
      <c r="C14" s="76"/>
      <c r="D14" s="76"/>
      <c r="E14" s="76"/>
      <c r="J14" s="98" t="str">
        <f t="array" ref="J14">IFERROR(INDEX(A$5:A$94, MATCH(1, (D$5:D$94="M")*(E$5:E$94=L14)*(COUNTIF(J$10:J13,A$5:A$94)=0), 0)),"")</f>
        <v>HESEL</v>
      </c>
      <c r="K14" s="98" t="str">
        <f t="array" ref="K14">IFERROR(INDEX(B$6:B$94, MATCH(1, (D$6:D$94="M")*(E$6:E$94=L14)*(COUNTIF(K$10:K13,B$6:B$94)=0), 0)),"")</f>
        <v>Jean Marc</v>
      </c>
      <c r="L14" s="116">
        <f t="array" ref="L14">IFERROR(SMALL(IF(D$5:D$94="M",E$5:E$94), ROW(A4)),"")</f>
        <v>61</v>
      </c>
      <c r="M14" s="95">
        <v>3</v>
      </c>
    </row>
    <row r="15" spans="1:24" ht="19.95" customHeight="1">
      <c r="A15" s="76"/>
      <c r="B15" s="76"/>
      <c r="C15" s="76"/>
      <c r="D15" s="76"/>
      <c r="E15" s="76"/>
    </row>
    <row r="16" spans="1:24" ht="19.95" customHeight="1">
      <c r="A16" s="282" t="s">
        <v>107</v>
      </c>
      <c r="B16" s="283"/>
      <c r="C16" s="283"/>
      <c r="D16" s="283"/>
      <c r="J16" s="276" t="s">
        <v>143</v>
      </c>
      <c r="K16" s="277"/>
      <c r="L16" s="91" t="s">
        <v>144</v>
      </c>
      <c r="M16" s="99" t="s">
        <v>145</v>
      </c>
    </row>
    <row r="17" spans="1:13" ht="19.95" customHeight="1" thickBot="1">
      <c r="A17" s="84" t="s">
        <v>128</v>
      </c>
      <c r="B17" s="85" t="s">
        <v>70</v>
      </c>
      <c r="C17" s="86" t="s">
        <v>134</v>
      </c>
      <c r="D17" s="86" t="s">
        <v>141</v>
      </c>
      <c r="E17" s="73" t="s">
        <v>129</v>
      </c>
      <c r="G17" s="89" t="s">
        <v>135</v>
      </c>
      <c r="J17" s="100"/>
      <c r="K17" s="100"/>
      <c r="L17" s="100"/>
      <c r="M17" s="76"/>
    </row>
    <row r="18" spans="1:13" ht="19.95" customHeight="1">
      <c r="A18" s="153" t="s">
        <v>6</v>
      </c>
      <c r="B18" s="150" t="s">
        <v>7</v>
      </c>
      <c r="C18" s="83" t="str">
        <f t="shared" ref="C18:C72" si="5">TRIM(CONCATENATE(B18,A18))</f>
        <v>RobertBOURGIER</v>
      </c>
      <c r="D18" s="94" t="s">
        <v>139</v>
      </c>
      <c r="E18" s="197">
        <v>64</v>
      </c>
      <c r="G18" s="90">
        <f>SMALL(Tableau414[BRUT],1)</f>
        <v>59</v>
      </c>
      <c r="J18" s="101"/>
      <c r="K18" s="101"/>
      <c r="L18" s="101"/>
      <c r="M18" s="76"/>
    </row>
    <row r="19" spans="1:13" ht="19.95" customHeight="1">
      <c r="A19" s="153" t="s">
        <v>18</v>
      </c>
      <c r="B19" s="152" t="s">
        <v>169</v>
      </c>
      <c r="C19" s="83" t="str">
        <f t="shared" si="5"/>
        <v>Gérard CAMBET</v>
      </c>
      <c r="D19" s="94" t="s">
        <v>139</v>
      </c>
      <c r="E19" s="197">
        <v>64</v>
      </c>
      <c r="G19" s="90">
        <f>SMALL(Tableau414[BRUT],2)</f>
        <v>61</v>
      </c>
      <c r="J19" s="292" t="s">
        <v>146</v>
      </c>
      <c r="K19" s="293"/>
      <c r="L19" s="91" t="s">
        <v>144</v>
      </c>
      <c r="M19" s="102" t="s">
        <v>145</v>
      </c>
    </row>
    <row r="20" spans="1:13" ht="19.95" customHeight="1">
      <c r="A20" s="153" t="s">
        <v>15</v>
      </c>
      <c r="B20" s="150" t="s">
        <v>16</v>
      </c>
      <c r="C20" s="83" t="str">
        <f t="shared" si="5"/>
        <v>Jean MarcHESEL</v>
      </c>
      <c r="D20" s="94" t="s">
        <v>139</v>
      </c>
      <c r="E20" s="197">
        <v>61</v>
      </c>
      <c r="G20" s="90">
        <f>SMALL(Tableau414[BRUT],3)</f>
        <v>64</v>
      </c>
      <c r="J20" s="103"/>
      <c r="K20" s="103"/>
      <c r="L20" s="103"/>
      <c r="M20" s="104"/>
    </row>
    <row r="21" spans="1:13" ht="19.95" customHeight="1">
      <c r="A21" s="153" t="s">
        <v>54</v>
      </c>
      <c r="B21" s="152" t="s">
        <v>12</v>
      </c>
      <c r="C21" s="83" t="str">
        <f t="shared" si="5"/>
        <v>MichelMANOUVRIER</v>
      </c>
      <c r="D21" s="94" t="s">
        <v>139</v>
      </c>
      <c r="E21" s="197">
        <v>72</v>
      </c>
    </row>
    <row r="22" spans="1:13" ht="19.95" customHeight="1">
      <c r="A22" s="153" t="s">
        <v>74</v>
      </c>
      <c r="B22" s="152" t="s">
        <v>44</v>
      </c>
      <c r="C22" s="122" t="str">
        <f t="shared" ref="C22:C23" si="6">TRIM(CONCATENATE(B22,A22))</f>
        <v>GillesVESCOVI</v>
      </c>
      <c r="D22" s="94" t="s">
        <v>139</v>
      </c>
      <c r="E22" s="197">
        <v>59</v>
      </c>
    </row>
    <row r="23" spans="1:13" ht="19.95" customHeight="1">
      <c r="A23" s="153" t="s">
        <v>74</v>
      </c>
      <c r="B23" s="153" t="s">
        <v>78</v>
      </c>
      <c r="C23" s="122" t="str">
        <f t="shared" si="6"/>
        <v>RégineVESCOVI</v>
      </c>
      <c r="D23" s="94" t="s">
        <v>140</v>
      </c>
      <c r="E23" s="197">
        <v>67</v>
      </c>
    </row>
    <row r="24" spans="1:13" ht="19.95" customHeight="1">
      <c r="A24" s="76"/>
      <c r="B24" s="76"/>
      <c r="C24" s="76"/>
      <c r="D24" s="76"/>
      <c r="E24" s="76"/>
    </row>
    <row r="25" spans="1:13" ht="19.95" customHeight="1">
      <c r="A25" s="76"/>
      <c r="B25" s="76"/>
      <c r="C25" s="76"/>
      <c r="D25" s="76"/>
      <c r="E25" s="76"/>
    </row>
    <row r="26" spans="1:13" ht="19.95" customHeight="1">
      <c r="A26" s="284" t="s">
        <v>209</v>
      </c>
      <c r="B26" s="285"/>
      <c r="C26" s="285"/>
      <c r="D26" s="285"/>
    </row>
    <row r="27" spans="1:13" ht="19.95" customHeight="1" thickBot="1">
      <c r="A27" s="84" t="s">
        <v>128</v>
      </c>
      <c r="B27" s="85" t="s">
        <v>70</v>
      </c>
      <c r="C27" s="86" t="s">
        <v>134</v>
      </c>
      <c r="D27" s="86" t="s">
        <v>141</v>
      </c>
      <c r="E27" s="73" t="s">
        <v>129</v>
      </c>
      <c r="G27" s="89" t="s">
        <v>135</v>
      </c>
    </row>
    <row r="28" spans="1:13" ht="19.95" customHeight="1">
      <c r="A28" s="152"/>
      <c r="B28" s="189"/>
      <c r="C28" s="83" t="str">
        <f t="shared" si="5"/>
        <v/>
      </c>
      <c r="D28" s="94" t="s">
        <v>139</v>
      </c>
      <c r="E28" s="78">
        <v>90</v>
      </c>
      <c r="G28" s="90">
        <f>SMALL(Tableau515[BRUT],1)</f>
        <v>90</v>
      </c>
    </row>
    <row r="29" spans="1:13" ht="19.95" customHeight="1">
      <c r="A29" s="190"/>
      <c r="B29" s="191"/>
      <c r="C29" s="83" t="str">
        <f t="shared" si="5"/>
        <v/>
      </c>
      <c r="D29" s="94" t="s">
        <v>139</v>
      </c>
      <c r="E29" s="74">
        <v>90</v>
      </c>
      <c r="G29" s="90">
        <f>SMALL(Tableau515[BRUT],2)</f>
        <v>90</v>
      </c>
    </row>
    <row r="30" spans="1:13" ht="19.95" customHeight="1">
      <c r="A30" s="192"/>
      <c r="B30" s="191"/>
      <c r="C30" s="83" t="str">
        <f t="shared" si="5"/>
        <v/>
      </c>
      <c r="D30" s="94" t="s">
        <v>140</v>
      </c>
      <c r="E30" s="74">
        <v>90</v>
      </c>
      <c r="G30" s="90">
        <f>SMALL(Tableau515[BRUT],3)</f>
        <v>90</v>
      </c>
    </row>
    <row r="31" spans="1:13" ht="19.95" customHeight="1">
      <c r="A31" s="76"/>
      <c r="B31" s="76"/>
      <c r="C31" s="76"/>
      <c r="D31" s="76"/>
      <c r="E31" s="76"/>
    </row>
    <row r="32" spans="1:13" ht="19.95" customHeight="1">
      <c r="A32" s="76"/>
      <c r="B32" s="76"/>
      <c r="C32" s="76"/>
      <c r="D32" s="76"/>
      <c r="E32" s="76"/>
    </row>
    <row r="33" spans="1:7" ht="19.95" customHeight="1" thickBot="1">
      <c r="A33" s="286" t="s">
        <v>17</v>
      </c>
      <c r="B33" s="287"/>
      <c r="C33" s="287"/>
      <c r="D33" s="287"/>
    </row>
    <row r="34" spans="1:7" ht="19.95" customHeight="1" thickBot="1">
      <c r="A34" s="84" t="s">
        <v>128</v>
      </c>
      <c r="B34" s="85" t="s">
        <v>70</v>
      </c>
      <c r="C34" s="86" t="s">
        <v>134</v>
      </c>
      <c r="D34" s="86" t="s">
        <v>141</v>
      </c>
      <c r="E34" s="73" t="s">
        <v>129</v>
      </c>
      <c r="G34" s="89" t="s">
        <v>135</v>
      </c>
    </row>
    <row r="35" spans="1:7" ht="19.95" customHeight="1">
      <c r="A35" s="149" t="s">
        <v>28</v>
      </c>
      <c r="B35" s="125" t="s">
        <v>23</v>
      </c>
      <c r="C35" s="83" t="str">
        <f t="shared" si="5"/>
        <v>JacquesANAVOISARD</v>
      </c>
      <c r="D35" s="94" t="s">
        <v>139</v>
      </c>
      <c r="E35" s="197">
        <v>70</v>
      </c>
      <c r="G35" s="90">
        <f>SMALL(Tableau616[BRUT],1)</f>
        <v>64</v>
      </c>
    </row>
    <row r="36" spans="1:7" ht="19.95" customHeight="1">
      <c r="A36" s="149" t="s">
        <v>114</v>
      </c>
      <c r="B36" s="125" t="s">
        <v>7</v>
      </c>
      <c r="C36" s="83" t="str">
        <f t="shared" si="5"/>
        <v>RobertBRUNEL</v>
      </c>
      <c r="D36" s="94" t="s">
        <v>139</v>
      </c>
      <c r="E36" s="197">
        <v>64</v>
      </c>
      <c r="G36" s="90">
        <f>SMALL(Tableau616[BRUT],2)</f>
        <v>64</v>
      </c>
    </row>
    <row r="37" spans="1:7" ht="19.95" customHeight="1">
      <c r="A37" s="149" t="s">
        <v>79</v>
      </c>
      <c r="B37" s="187" t="s">
        <v>50</v>
      </c>
      <c r="C37" s="83" t="str">
        <f t="shared" si="5"/>
        <v>MichelleCIBERT GOTHON</v>
      </c>
      <c r="D37" s="94" t="s">
        <v>140</v>
      </c>
      <c r="E37" s="197">
        <v>71</v>
      </c>
      <c r="G37" s="90">
        <f>SMALL(Tableau616[BRUT],3)</f>
        <v>65</v>
      </c>
    </row>
    <row r="38" spans="1:7" ht="19.95" customHeight="1">
      <c r="A38" s="149" t="s">
        <v>64</v>
      </c>
      <c r="B38" s="125" t="s">
        <v>165</v>
      </c>
      <c r="C38" s="122" t="str">
        <f t="shared" ref="C38:C40" si="7">TRIM(CONCATENATE(B38,A38))</f>
        <v>Jean-MichelFAURIE</v>
      </c>
      <c r="D38" s="94" t="s">
        <v>139</v>
      </c>
      <c r="E38" s="197">
        <v>69</v>
      </c>
      <c r="G38" s="126"/>
    </row>
    <row r="39" spans="1:7" ht="19.95" customHeight="1">
      <c r="A39" s="149" t="s">
        <v>190</v>
      </c>
      <c r="B39" s="125" t="s">
        <v>105</v>
      </c>
      <c r="C39" s="122" t="str">
        <f t="shared" si="7"/>
        <v>BrunoFLEURY</v>
      </c>
      <c r="D39" s="94" t="s">
        <v>139</v>
      </c>
      <c r="E39" s="197">
        <v>64</v>
      </c>
      <c r="G39" s="126"/>
    </row>
    <row r="40" spans="1:7" ht="19.95" customHeight="1">
      <c r="A40" s="149" t="s">
        <v>122</v>
      </c>
      <c r="B40" s="125" t="s">
        <v>123</v>
      </c>
      <c r="C40" s="122" t="str">
        <f t="shared" si="7"/>
        <v>MaëlGEBRILLAT</v>
      </c>
      <c r="D40" s="94" t="s">
        <v>139</v>
      </c>
      <c r="E40" s="197">
        <v>68</v>
      </c>
      <c r="G40" s="126"/>
    </row>
    <row r="41" spans="1:7" ht="19.95" customHeight="1">
      <c r="A41" s="149" t="s">
        <v>191</v>
      </c>
      <c r="B41" s="187" t="s">
        <v>192</v>
      </c>
      <c r="C41" s="122" t="str">
        <f t="shared" ref="C41:C43" si="8">TRIM(CONCATENATE(B41,A41))</f>
        <v>Ghislaine LARIVIERE</v>
      </c>
      <c r="D41" s="94" t="s">
        <v>140</v>
      </c>
      <c r="E41" s="197">
        <v>75</v>
      </c>
      <c r="G41" s="126"/>
    </row>
    <row r="42" spans="1:7" ht="19.95" customHeight="1">
      <c r="A42" s="149" t="s">
        <v>201</v>
      </c>
      <c r="B42" s="125" t="s">
        <v>33</v>
      </c>
      <c r="C42" s="122" t="str">
        <f t="shared" si="8"/>
        <v>SergeLAVEDIAU</v>
      </c>
      <c r="D42" s="94" t="s">
        <v>139</v>
      </c>
      <c r="E42" s="197">
        <v>85</v>
      </c>
      <c r="G42" s="126"/>
    </row>
    <row r="43" spans="1:7" ht="19.95" customHeight="1">
      <c r="A43" s="149" t="s">
        <v>59</v>
      </c>
      <c r="B43" s="125" t="s">
        <v>60</v>
      </c>
      <c r="C43" s="122" t="str">
        <f t="shared" si="8"/>
        <v>ClaudeMERCIER</v>
      </c>
      <c r="D43" s="94" t="s">
        <v>139</v>
      </c>
      <c r="E43" s="197">
        <v>68</v>
      </c>
      <c r="G43" s="126"/>
    </row>
    <row r="44" spans="1:7" ht="19.95" customHeight="1">
      <c r="A44" s="149" t="s">
        <v>80</v>
      </c>
      <c r="B44" s="125" t="s">
        <v>68</v>
      </c>
      <c r="C44" s="83" t="str">
        <f t="shared" si="5"/>
        <v>Jean PierreMOUTREUX</v>
      </c>
      <c r="D44" s="94" t="s">
        <v>139</v>
      </c>
      <c r="E44" s="197">
        <v>77</v>
      </c>
    </row>
    <row r="45" spans="1:7" ht="19.95" customHeight="1">
      <c r="A45" s="149" t="s">
        <v>38</v>
      </c>
      <c r="B45" s="187" t="s">
        <v>49</v>
      </c>
      <c r="C45" s="138" t="str">
        <f>TRIM(CONCATENATE(B45,A45))</f>
        <v>SylvieSOUTHON</v>
      </c>
      <c r="D45" s="94" t="s">
        <v>140</v>
      </c>
      <c r="E45" s="197">
        <v>85</v>
      </c>
    </row>
    <row r="46" spans="1:7" ht="19.95" customHeight="1">
      <c r="A46" s="149" t="s">
        <v>26</v>
      </c>
      <c r="B46" s="125" t="s">
        <v>27</v>
      </c>
      <c r="C46" s="83" t="str">
        <f t="shared" si="5"/>
        <v>DanielVEDEL</v>
      </c>
      <c r="D46" s="94" t="s">
        <v>139</v>
      </c>
      <c r="E46" s="197">
        <v>65</v>
      </c>
    </row>
    <row r="47" spans="1:7" ht="19.95" customHeight="1">
      <c r="A47" s="76"/>
      <c r="B47" s="76"/>
      <c r="C47" s="83" t="str">
        <f t="shared" si="5"/>
        <v/>
      </c>
      <c r="D47" s="76"/>
      <c r="E47" s="76"/>
    </row>
    <row r="48" spans="1:7" ht="19.95" customHeight="1">
      <c r="A48" s="76"/>
      <c r="B48" s="76"/>
      <c r="C48" s="83" t="str">
        <f t="shared" si="5"/>
        <v/>
      </c>
      <c r="D48" s="76"/>
      <c r="E48" s="76"/>
    </row>
    <row r="49" spans="1:7" ht="19.95" customHeight="1" thickBot="1">
      <c r="A49" s="288" t="s">
        <v>8</v>
      </c>
      <c r="B49" s="289"/>
      <c r="C49" s="289"/>
      <c r="D49" s="289"/>
    </row>
    <row r="50" spans="1:7" ht="19.95" customHeight="1" thickBot="1">
      <c r="A50" s="84" t="s">
        <v>128</v>
      </c>
      <c r="B50" s="85" t="s">
        <v>70</v>
      </c>
      <c r="C50" s="86" t="s">
        <v>134</v>
      </c>
      <c r="D50" s="86" t="s">
        <v>141</v>
      </c>
      <c r="E50" s="73" t="s">
        <v>129</v>
      </c>
      <c r="G50" s="89" t="s">
        <v>135</v>
      </c>
    </row>
    <row r="51" spans="1:7" ht="19.95" customHeight="1">
      <c r="A51" s="143" t="s">
        <v>20</v>
      </c>
      <c r="B51" s="144" t="s">
        <v>21</v>
      </c>
      <c r="C51" s="83" t="str">
        <f t="shared" si="5"/>
        <v>MarcGRAVELIN</v>
      </c>
      <c r="D51" s="94" t="s">
        <v>139</v>
      </c>
      <c r="E51" s="197">
        <v>68</v>
      </c>
      <c r="G51" s="90">
        <f>SMALL(Tableau717[BRUT],1)</f>
        <v>59</v>
      </c>
    </row>
    <row r="52" spans="1:7" ht="19.95" customHeight="1">
      <c r="A52" s="143" t="s">
        <v>91</v>
      </c>
      <c r="B52" s="144" t="s">
        <v>44</v>
      </c>
      <c r="C52" s="122" t="str">
        <f>TRIM(CONCATENATE(B52,A52))</f>
        <v>GillesJOSSIER</v>
      </c>
      <c r="D52" s="94" t="s">
        <v>139</v>
      </c>
      <c r="E52" s="197">
        <v>63</v>
      </c>
      <c r="G52" s="90">
        <f>SMALL(Tableau717[BRUT],2)</f>
        <v>63</v>
      </c>
    </row>
    <row r="53" spans="1:7" ht="19.95" customHeight="1">
      <c r="A53" s="143" t="s">
        <v>73</v>
      </c>
      <c r="B53" s="143" t="s">
        <v>67</v>
      </c>
      <c r="C53" s="83" t="str">
        <f t="shared" si="5"/>
        <v>ElisabethMEYNIAL</v>
      </c>
      <c r="D53" s="94" t="s">
        <v>140</v>
      </c>
      <c r="E53" s="197">
        <v>70</v>
      </c>
      <c r="G53" s="90">
        <f>SMALL(Tableau717[BRUT],3)</f>
        <v>67</v>
      </c>
    </row>
    <row r="54" spans="1:7" ht="19.95" customHeight="1">
      <c r="A54" s="143" t="s">
        <v>35</v>
      </c>
      <c r="B54" s="144" t="s">
        <v>36</v>
      </c>
      <c r="C54" s="138" t="str">
        <f>TRIM(CONCATENATE(B54,A54))</f>
        <v>PierreNEYRIAL</v>
      </c>
      <c r="D54" s="94" t="s">
        <v>139</v>
      </c>
      <c r="E54" s="197">
        <v>67</v>
      </c>
    </row>
    <row r="55" spans="1:7" ht="19.95" customHeight="1">
      <c r="A55" s="143" t="s">
        <v>32</v>
      </c>
      <c r="B55" s="143" t="s">
        <v>47</v>
      </c>
      <c r="C55" s="138" t="str">
        <f>TRIM(CONCATENATE(B55,A55))</f>
        <v>HuguettePERRIER</v>
      </c>
      <c r="D55" s="94" t="s">
        <v>140</v>
      </c>
      <c r="E55" s="197">
        <v>68</v>
      </c>
    </row>
    <row r="56" spans="1:7" ht="19.95" customHeight="1">
      <c r="A56" s="143" t="s">
        <v>32</v>
      </c>
      <c r="B56" s="144" t="s">
        <v>33</v>
      </c>
      <c r="C56" s="83" t="str">
        <f t="shared" si="5"/>
        <v>SergePERRIER</v>
      </c>
      <c r="D56" s="94" t="s">
        <v>139</v>
      </c>
      <c r="E56" s="197">
        <v>59</v>
      </c>
    </row>
    <row r="57" spans="1:7" ht="19.95" customHeight="1">
      <c r="A57" s="76"/>
      <c r="B57" s="76"/>
      <c r="C57" s="83" t="str">
        <f t="shared" si="5"/>
        <v/>
      </c>
      <c r="D57" s="76"/>
      <c r="E57" s="81"/>
    </row>
    <row r="58" spans="1:7" ht="19.95" customHeight="1">
      <c r="A58" s="76"/>
      <c r="B58" s="76"/>
      <c r="C58" s="83" t="str">
        <f t="shared" si="5"/>
        <v/>
      </c>
      <c r="D58" s="76"/>
      <c r="E58" s="76"/>
    </row>
    <row r="59" spans="1:7" ht="19.2" customHeight="1" thickBot="1">
      <c r="A59" s="290" t="s">
        <v>63</v>
      </c>
      <c r="B59" s="291"/>
      <c r="C59" s="291"/>
      <c r="D59" s="291"/>
    </row>
    <row r="60" spans="1:7" ht="19.2" customHeight="1" thickBot="1">
      <c r="A60" s="88" t="s">
        <v>128</v>
      </c>
      <c r="B60" s="85" t="s">
        <v>70</v>
      </c>
      <c r="C60" s="86" t="s">
        <v>134</v>
      </c>
      <c r="D60" s="86" t="s">
        <v>141</v>
      </c>
      <c r="E60" s="73" t="s">
        <v>129</v>
      </c>
      <c r="G60" s="89" t="s">
        <v>135</v>
      </c>
    </row>
    <row r="61" spans="1:7" ht="19.95" customHeight="1">
      <c r="A61" s="146" t="s">
        <v>118</v>
      </c>
      <c r="B61" s="146" t="s">
        <v>120</v>
      </c>
      <c r="C61" s="83" t="str">
        <f t="shared" si="5"/>
        <v>JacquelineCARRER</v>
      </c>
      <c r="D61" s="94" t="s">
        <v>140</v>
      </c>
      <c r="E61" s="197">
        <v>69</v>
      </c>
      <c r="G61" s="90">
        <f>SMALL(Tableau818[BRUT],1)</f>
        <v>66</v>
      </c>
    </row>
    <row r="62" spans="1:7" ht="19.95" customHeight="1">
      <c r="A62" s="146" t="s">
        <v>199</v>
      </c>
      <c r="B62" s="147" t="s">
        <v>200</v>
      </c>
      <c r="C62" s="83" t="str">
        <f t="shared" si="5"/>
        <v>NoëlLAURENT</v>
      </c>
      <c r="D62" s="94" t="s">
        <v>139</v>
      </c>
      <c r="E62" s="197">
        <v>69</v>
      </c>
      <c r="G62" s="90">
        <f>SMALL(Tableau818[BRUT],2)</f>
        <v>69</v>
      </c>
    </row>
    <row r="63" spans="1:7" ht="19.95" customHeight="1">
      <c r="A63" s="146" t="s">
        <v>202</v>
      </c>
      <c r="B63" s="147" t="s">
        <v>203</v>
      </c>
      <c r="C63" s="188" t="str">
        <f>TRIM(CONCATENATE(B63,A63))</f>
        <v>Pierre JeanRAYNIERE</v>
      </c>
      <c r="D63" s="94" t="s">
        <v>139</v>
      </c>
      <c r="E63" s="197">
        <v>76</v>
      </c>
      <c r="G63" s="90">
        <f>SMALL(Tableau818[BRUT],3)</f>
        <v>69</v>
      </c>
    </row>
    <row r="64" spans="1:7" ht="19.95" customHeight="1">
      <c r="A64" s="146" t="s">
        <v>34</v>
      </c>
      <c r="B64" s="147" t="s">
        <v>22</v>
      </c>
      <c r="C64" s="188" t="str">
        <f>TRIM(CONCATENATE(B64,A64))</f>
        <v>Jean LouisRODDE</v>
      </c>
      <c r="D64" s="94" t="s">
        <v>139</v>
      </c>
      <c r="E64" s="197">
        <v>66</v>
      </c>
      <c r="G64" s="126"/>
    </row>
    <row r="65" spans="1:7" ht="19.95" customHeight="1">
      <c r="A65" s="146" t="s">
        <v>51</v>
      </c>
      <c r="B65" s="146" t="s">
        <v>52</v>
      </c>
      <c r="C65" s="83" t="str">
        <f t="shared" si="5"/>
        <v>Marie HélèneMONCHAUX</v>
      </c>
      <c r="D65" s="94" t="s">
        <v>140</v>
      </c>
      <c r="E65" s="197">
        <v>89</v>
      </c>
      <c r="G65" s="126"/>
    </row>
    <row r="66" spans="1:7" ht="19.95" customHeight="1">
      <c r="A66" s="76"/>
      <c r="B66" s="76"/>
      <c r="C66" s="83" t="str">
        <f t="shared" si="5"/>
        <v/>
      </c>
      <c r="D66" s="76"/>
      <c r="E66" s="76"/>
    </row>
    <row r="67" spans="1:7" ht="19.95" customHeight="1">
      <c r="A67" s="76"/>
      <c r="B67" s="76"/>
      <c r="C67" s="83" t="str">
        <f t="shared" si="5"/>
        <v/>
      </c>
      <c r="D67" s="76"/>
      <c r="E67" s="76"/>
    </row>
    <row r="68" spans="1:7" ht="19.2" thickBot="1">
      <c r="A68" s="278" t="s">
        <v>24</v>
      </c>
      <c r="B68" s="279"/>
      <c r="C68" s="279"/>
      <c r="D68" s="279"/>
    </row>
    <row r="69" spans="1:7" ht="20.399999999999999" thickBot="1">
      <c r="A69" s="84" t="s">
        <v>128</v>
      </c>
      <c r="B69" s="85" t="s">
        <v>70</v>
      </c>
      <c r="C69" s="86" t="s">
        <v>134</v>
      </c>
      <c r="D69" s="86" t="s">
        <v>141</v>
      </c>
      <c r="E69" s="73" t="s">
        <v>129</v>
      </c>
      <c r="G69" s="89" t="s">
        <v>135</v>
      </c>
    </row>
    <row r="70" spans="1:7" ht="18.600000000000001">
      <c r="A70" s="121"/>
      <c r="B70" s="121"/>
      <c r="C70" s="83" t="str">
        <f t="shared" si="5"/>
        <v/>
      </c>
      <c r="D70" s="94" t="s">
        <v>140</v>
      </c>
      <c r="E70" s="73">
        <v>90</v>
      </c>
      <c r="G70" s="90">
        <f>SMALL(Tableau919[BRUT],1)</f>
        <v>90</v>
      </c>
    </row>
    <row r="71" spans="1:7" ht="18.600000000000001">
      <c r="A71" s="121"/>
      <c r="B71" s="121"/>
      <c r="C71" s="83" t="str">
        <f t="shared" si="5"/>
        <v/>
      </c>
      <c r="D71" s="94" t="s">
        <v>140</v>
      </c>
      <c r="E71" s="73">
        <v>90</v>
      </c>
      <c r="G71" s="90">
        <f>SMALL(Tableau919[BRUT],2)</f>
        <v>90</v>
      </c>
    </row>
    <row r="72" spans="1:7" ht="18.600000000000001">
      <c r="A72" s="121"/>
      <c r="B72" s="121"/>
      <c r="C72" s="83" t="str">
        <f t="shared" si="5"/>
        <v/>
      </c>
      <c r="D72" s="94" t="s">
        <v>140</v>
      </c>
      <c r="E72" s="73">
        <v>90</v>
      </c>
      <c r="G72" s="90">
        <f>SMALL(Tableau919[BRUT],3)</f>
        <v>90</v>
      </c>
    </row>
  </sheetData>
  <mergeCells count="12">
    <mergeCell ref="A68:D68"/>
    <mergeCell ref="A1:I1"/>
    <mergeCell ref="A3:D3"/>
    <mergeCell ref="J5:K5"/>
    <mergeCell ref="J10:K10"/>
    <mergeCell ref="A16:D16"/>
    <mergeCell ref="J16:K16"/>
    <mergeCell ref="J19:K19"/>
    <mergeCell ref="A26:D26"/>
    <mergeCell ref="A33:D33"/>
    <mergeCell ref="A49:D49"/>
    <mergeCell ref="A59:D59"/>
  </mergeCells>
  <dataValidations count="1">
    <dataValidation type="list" allowBlank="1" showInputMessage="1" showErrorMessage="1" sqref="A35:A41" xr:uid="{00000000-0002-0000-0300-000000000000}">
      <formula1>NOM</formula1>
    </dataValidation>
  </dataValidations>
  <pageMargins left="0.7" right="0.7" top="0.75" bottom="0.75" header="0.3" footer="0.3"/>
  <pageSetup paperSize="9"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U86"/>
  <sheetViews>
    <sheetView workbookViewId="0">
      <selection activeCell="A9" sqref="A9:B9"/>
    </sheetView>
  </sheetViews>
  <sheetFormatPr baseColWidth="10" defaultRowHeight="13.2"/>
  <cols>
    <col min="1" max="1" width="30.109375" bestFit="1" customWidth="1"/>
    <col min="2" max="2" width="24.6640625" customWidth="1"/>
    <col min="3" max="3" width="13.109375" hidden="1" customWidth="1"/>
    <col min="4" max="4" width="4.6640625" customWidth="1"/>
    <col min="5" max="5" width="8.44140625" customWidth="1"/>
    <col min="6" max="6" width="8.6640625" customWidth="1"/>
    <col min="7" max="7" width="14.33203125" bestFit="1" customWidth="1"/>
    <col min="8" max="8" width="3" customWidth="1"/>
    <col min="9" max="9" width="3.6640625" customWidth="1"/>
    <col min="10" max="10" width="21.109375" customWidth="1"/>
    <col min="11" max="11" width="18" customWidth="1"/>
    <col min="12" max="12" width="15.33203125" customWidth="1"/>
    <col min="13" max="13" width="13" bestFit="1" customWidth="1"/>
    <col min="14" max="14" width="11" customWidth="1"/>
    <col min="15" max="15" width="12.77734375" hidden="1" customWidth="1"/>
    <col min="16" max="16" width="8.109375" hidden="1" customWidth="1"/>
    <col min="17" max="17" width="6.77734375" hidden="1" customWidth="1"/>
    <col min="18" max="18" width="4.77734375" customWidth="1"/>
    <col min="19" max="19" width="30.44140625" bestFit="1" customWidth="1"/>
    <col min="20" max="20" width="9.44140625" bestFit="1" customWidth="1"/>
    <col min="21" max="21" width="13" bestFit="1" customWidth="1"/>
  </cols>
  <sheetData>
    <row r="1" spans="1:21" ht="67.8" customHeight="1" thickBot="1">
      <c r="A1" s="271" t="s">
        <v>186</v>
      </c>
      <c r="B1" s="272"/>
      <c r="C1" s="272"/>
      <c r="D1" s="272"/>
      <c r="E1" s="272"/>
      <c r="F1" s="272"/>
      <c r="G1" s="272"/>
      <c r="H1" s="272"/>
      <c r="I1" s="273"/>
    </row>
    <row r="3" spans="1:21" ht="19.2" thickBot="1">
      <c r="A3" s="280" t="s">
        <v>11</v>
      </c>
      <c r="B3" s="281"/>
      <c r="C3" s="281"/>
      <c r="D3" s="281"/>
    </row>
    <row r="4" spans="1:21" ht="19.95" customHeight="1" thickBot="1">
      <c r="A4" s="84" t="s">
        <v>128</v>
      </c>
      <c r="B4" s="85" t="s">
        <v>70</v>
      </c>
      <c r="C4" s="86" t="s">
        <v>134</v>
      </c>
      <c r="D4" s="86" t="s">
        <v>141</v>
      </c>
      <c r="E4" s="73" t="s">
        <v>129</v>
      </c>
      <c r="G4" s="89" t="s">
        <v>135</v>
      </c>
    </row>
    <row r="5" spans="1:21" ht="19.95" customHeight="1">
      <c r="A5" s="207" t="s">
        <v>198</v>
      </c>
      <c r="B5" s="207" t="s">
        <v>67</v>
      </c>
      <c r="C5" s="156" t="str">
        <f>TRIM(CONCATENATE(B5,A5))</f>
        <v>ElisabethBRIDIER</v>
      </c>
      <c r="D5" s="94" t="s">
        <v>140</v>
      </c>
      <c r="E5" s="73">
        <v>70</v>
      </c>
      <c r="G5" s="90">
        <f>SMALL(Tableau31321[BRUT],1)</f>
        <v>57</v>
      </c>
      <c r="J5" s="274" t="s">
        <v>136</v>
      </c>
      <c r="K5" s="275"/>
      <c r="L5" s="114" t="s">
        <v>137</v>
      </c>
      <c r="M5" s="92" t="s">
        <v>138</v>
      </c>
    </row>
    <row r="6" spans="1:21" ht="19.95" customHeight="1">
      <c r="A6" s="151" t="s">
        <v>117</v>
      </c>
      <c r="B6" s="152" t="s">
        <v>88</v>
      </c>
      <c r="C6" s="83" t="str">
        <f t="shared" ref="C6:C18" si="0">TRIM(CONCATENATE(B6,A6))</f>
        <v>Jean ClaudeCLUZEL</v>
      </c>
      <c r="D6" s="94" t="s">
        <v>139</v>
      </c>
      <c r="E6" s="73">
        <v>57</v>
      </c>
      <c r="G6" s="90">
        <f>SMALL(Tableau31321[BRUT],2)</f>
        <v>59</v>
      </c>
      <c r="J6" s="96" t="str">
        <f t="array" ref="J6">IFERROR(INDEX(A$6:A$109, MATCH(1, (D$6:D$109="F")*(E$6:E$109=L6)*(COUNTIF(J$5:J5,A$6:A$109)=0), 0)),"")</f>
        <v>VESCOVI</v>
      </c>
      <c r="K6" s="96" t="str">
        <f t="array" ref="K6">IFERROR(INDEX(B$6:B$109, MATCH(1, (D$6:D$109="F")*(E$6:E$109=L6)*(COUNTIF(L$5:L5,E$6:E$109)=0), 0)),"")</f>
        <v>Régine</v>
      </c>
      <c r="L6" s="115">
        <f t="array" ref="L6">IFERROR(SMALL(IF(D$6:D$109="F",E$6:E$109), ROW(A1)),"")</f>
        <v>65</v>
      </c>
      <c r="M6" s="93">
        <v>1</v>
      </c>
      <c r="O6" s="109" t="s">
        <v>147</v>
      </c>
      <c r="P6" s="110" t="s">
        <v>148</v>
      </c>
      <c r="Q6" s="111" t="s">
        <v>138</v>
      </c>
      <c r="S6" s="105" t="s">
        <v>147</v>
      </c>
      <c r="T6" s="117" t="s">
        <v>148</v>
      </c>
      <c r="U6" s="107" t="s">
        <v>138</v>
      </c>
    </row>
    <row r="7" spans="1:21" ht="19.95" customHeight="1">
      <c r="A7" s="151" t="s">
        <v>9</v>
      </c>
      <c r="B7" s="152" t="s">
        <v>10</v>
      </c>
      <c r="C7" s="83" t="str">
        <f t="shared" si="0"/>
        <v>AlainJEANDREAU</v>
      </c>
      <c r="D7" s="94" t="s">
        <v>139</v>
      </c>
      <c r="E7" s="73">
        <v>59</v>
      </c>
      <c r="G7" s="90">
        <f>SMALL(Tableau31321[BRUT],3)</f>
        <v>60</v>
      </c>
      <c r="J7" s="97" t="str">
        <f t="array" ref="J7">IFERROR(INDEX(A$6:A$109, MATCH(1, (D$6:D$109="F")*(E$6:E$109=L7)*(COUNTIF(J$5:J6,A$6:A$109)=0), 0)),"")</f>
        <v>HEBERT</v>
      </c>
      <c r="K7" s="97" t="str">
        <f t="array" ref="K7">IFERROR(INDEX(B$6:B$109, MATCH(1, (D$6:D$109="F")*(E$6:E$109=L7)*(COUNTIF(K$5:K6,B$6:B$109)=0), 0)),"")</f>
        <v>Françoise</v>
      </c>
      <c r="L7" s="115">
        <f t="array" ref="L7">IFERROR(SMALL(IF((D$6:D$109="F")*(COUNTIF(L$5:L5,E$6:E$109)=0), E$6:E$109), ROW(A2)),"")</f>
        <v>67</v>
      </c>
      <c r="M7" s="93">
        <v>2</v>
      </c>
      <c r="O7" s="108" t="str">
        <f>A3</f>
        <v>RIOM</v>
      </c>
      <c r="P7" s="103">
        <f>SUM(G5:G7)</f>
        <v>176</v>
      </c>
      <c r="Q7" s="93">
        <f>RANK(P7, P$7:P$13, 1) + COUNTIF(P$7:P7, P7) - 1</f>
        <v>4</v>
      </c>
      <c r="S7" s="106" t="str">
        <f>INDEX(O$7:O$13, MATCH(ROW(A1), Q$7:Q$13, 0))</f>
        <v>GAZELEC CLERMONT</v>
      </c>
      <c r="T7" s="118">
        <f>INDEX(P$7:P$13, MATCH(ROW(A1), Q$7:Q$13, 0))</f>
        <v>173</v>
      </c>
      <c r="U7" s="93">
        <f>ROW(A1)</f>
        <v>1</v>
      </c>
    </row>
    <row r="8" spans="1:21" ht="19.95" customHeight="1">
      <c r="A8" s="151" t="s">
        <v>130</v>
      </c>
      <c r="B8" s="152" t="s">
        <v>131</v>
      </c>
      <c r="C8" s="83" t="str">
        <f t="shared" si="0"/>
        <v>RolandJUHLIEN</v>
      </c>
      <c r="D8" s="94" t="s">
        <v>139</v>
      </c>
      <c r="E8" s="73">
        <v>60</v>
      </c>
      <c r="J8" s="97" t="str">
        <f t="array" ref="J8">IFERROR(INDEX(A$6:A$109, MATCH(1, (D$6:D$109="F")*(E$6:E$109=L8)*(COUNTIF(J$5:J7,A$6:A$109)=0), 0)),"")</f>
        <v>PERRIER</v>
      </c>
      <c r="K8" s="97" t="str">
        <f t="array" ref="K8">IFERROR(INDEX(B$6:B$109, MATCH(1, (D$6:D$109="F")*(E$6:E$109=L8)*(COUNTIF(K$5:K7,B$6:B$109)=0), 0)),"")</f>
        <v>Huguette</v>
      </c>
      <c r="L8" s="115">
        <f t="array" ref="L8">IFERROR(SMALL(IF((D$6:D$109="F")*(COUNTIF(L$5:L6,E$6:E$109)=0), E$6:E$109), ROW(A3)),"")</f>
        <v>71</v>
      </c>
      <c r="M8" s="93">
        <v>3</v>
      </c>
      <c r="O8" s="108" t="str">
        <f>A19</f>
        <v>GAZELEC CLERMONT</v>
      </c>
      <c r="P8" s="103">
        <f>SUM(G21:G23)</f>
        <v>173</v>
      </c>
      <c r="Q8" s="93">
        <f>RANK(P8, P$7:P$13, 1) + COUNTIF(P$7:P8, P8) - 1</f>
        <v>1</v>
      </c>
      <c r="S8" s="106" t="str">
        <f t="shared" ref="S8:S13" si="1">INDEX(O$7:O$13, MATCH(ROW(A2), Q$7:Q$13, 0))</f>
        <v>CHARADE</v>
      </c>
      <c r="T8" s="118">
        <f t="shared" ref="T8:T13" si="2">INDEX(P$7:P$13, MATCH(ROW(A2), Q$7:Q$13, 0))</f>
        <v>174</v>
      </c>
      <c r="U8" s="93">
        <f t="shared" ref="U8:U13" si="3">ROW(A2)</f>
        <v>2</v>
      </c>
    </row>
    <row r="9" spans="1:21" ht="19.95" customHeight="1">
      <c r="A9" s="151" t="s">
        <v>30</v>
      </c>
      <c r="B9" s="151" t="s">
        <v>159</v>
      </c>
      <c r="C9" s="83" t="str">
        <f t="shared" si="0"/>
        <v>JoëlleKUCHCIK</v>
      </c>
      <c r="D9" s="94" t="s">
        <v>140</v>
      </c>
      <c r="E9" s="73">
        <v>78</v>
      </c>
      <c r="O9" s="108" t="str">
        <f>A32</f>
        <v>GAZELEC MOULINS/VICHY</v>
      </c>
      <c r="P9" s="103">
        <f>SUM(G34:G36)</f>
        <v>270</v>
      </c>
      <c r="Q9" s="93">
        <f>RANK(P9, P$7:P$13, 1) + COUNTIF(P$7:P9, P9) - 1</f>
        <v>6</v>
      </c>
      <c r="S9" s="106" t="str">
        <f t="shared" si="1"/>
        <v>VAL D'AUZON</v>
      </c>
      <c r="T9" s="118">
        <f t="shared" si="2"/>
        <v>175</v>
      </c>
      <c r="U9" s="93">
        <f t="shared" si="3"/>
        <v>3</v>
      </c>
    </row>
    <row r="10" spans="1:21" ht="19.95" customHeight="1">
      <c r="A10" s="151" t="s">
        <v>43</v>
      </c>
      <c r="B10" s="152" t="s">
        <v>37</v>
      </c>
      <c r="C10" s="83" t="str">
        <f t="shared" si="0"/>
        <v>JackyMACHAJ</v>
      </c>
      <c r="D10" s="94" t="s">
        <v>139</v>
      </c>
      <c r="E10" s="73">
        <v>62</v>
      </c>
      <c r="J10" s="274" t="s">
        <v>142</v>
      </c>
      <c r="K10" s="275"/>
      <c r="L10" s="114" t="s">
        <v>137</v>
      </c>
      <c r="M10" s="92" t="s">
        <v>138</v>
      </c>
      <c r="O10" s="108" t="str">
        <f>A40</f>
        <v>VAL D'AUZON</v>
      </c>
      <c r="P10" s="103">
        <f>SUM(G42:G44)</f>
        <v>175</v>
      </c>
      <c r="Q10" s="93">
        <f>RANK(P10, P$7:P$13, 1) + COUNTIF(P$7:P10, P10) - 1</f>
        <v>3</v>
      </c>
      <c r="S10" s="106" t="str">
        <f t="shared" si="1"/>
        <v>RIOM</v>
      </c>
      <c r="T10" s="118">
        <f t="shared" si="2"/>
        <v>176</v>
      </c>
      <c r="U10" s="93">
        <f t="shared" si="3"/>
        <v>4</v>
      </c>
    </row>
    <row r="11" spans="1:21" ht="19.95" customHeight="1">
      <c r="A11" s="151" t="s">
        <v>41</v>
      </c>
      <c r="B11" s="152" t="s">
        <v>42</v>
      </c>
      <c r="C11" s="194" t="str">
        <f t="shared" ref="C11:C13" si="4">TRIM(CONCATENATE(B11,A11))</f>
        <v>ChristianMOULIN</v>
      </c>
      <c r="D11" s="94" t="s">
        <v>139</v>
      </c>
      <c r="E11" s="73">
        <v>60</v>
      </c>
      <c r="J11" s="98" t="str">
        <f t="array" ref="J11">IFERROR(INDEX(A$6:A$109, MATCH(1, (D$6:D$109="M")*(E$6:E$109=L11)*(COUNTIF(J$10:J10,A$6:A$109)=0), 0)),"")</f>
        <v>RODDE</v>
      </c>
      <c r="K11" s="98" t="str">
        <f t="array" ref="K11">IFERROR(INDEX(B$6:B$109, MATCH(1, (D$6:D$109="M")*(E$6:E$109=L11)*(COUNTIF(L$10:L10,E$6:E$109)=0), 0)),"")</f>
        <v>Jean Louis</v>
      </c>
      <c r="L11" s="116">
        <f t="array" ref="L11">IFERROR(SMALL(IF(D$6:D$109="M",E$6:E$109), ROW(A1)),"")</f>
        <v>53</v>
      </c>
      <c r="M11" s="95">
        <v>1</v>
      </c>
      <c r="O11" s="108" t="str">
        <f>A56</f>
        <v>CHARADE</v>
      </c>
      <c r="P11" s="103">
        <f>SUM(G58:G60)</f>
        <v>174</v>
      </c>
      <c r="Q11" s="93">
        <f>RANK(P11, P$7:P$13, 1) + COUNTIF(P$7:P11, P11) - 1</f>
        <v>2</v>
      </c>
      <c r="S11" s="106" t="str">
        <f>INDEX(O$7:O$13, MATCH(ROW(A5), Q$7:Q$13, 0))</f>
        <v>MAURIAC</v>
      </c>
      <c r="T11" s="118">
        <f>INDEX(P$7:P$13, MATCH(ROW(A5), Q$7:Q$13, 0))</f>
        <v>185</v>
      </c>
      <c r="U11" s="93">
        <f>ROW(A5)</f>
        <v>5</v>
      </c>
    </row>
    <row r="12" spans="1:21" ht="19.95" customHeight="1">
      <c r="A12" s="151" t="s">
        <v>113</v>
      </c>
      <c r="B12" s="150" t="s">
        <v>37</v>
      </c>
      <c r="C12" s="194" t="str">
        <f t="shared" si="4"/>
        <v>JackyPEGEON</v>
      </c>
      <c r="D12" s="94" t="s">
        <v>139</v>
      </c>
      <c r="E12" s="73">
        <v>73</v>
      </c>
      <c r="J12" s="98" t="str">
        <f t="array" ref="J12">IFERROR(INDEX(A$6:A$109, MATCH(1, (D$6:D$109="M")*(E$6:E$109=L12)*(COUNTIF(J$10:J11,A$6:A$109)=0), 0)),"")</f>
        <v>BOURGIER</v>
      </c>
      <c r="K12" s="98" t="str">
        <f t="array" ref="K12">IFERROR(INDEX(B$6:B$109, MATCH(1, (D$6:D$109="M")*(E$6:E$109=L12)*(COUNTIF(K$10:K11,B$6:B$109)=0), 0)),"")</f>
        <v>Robert</v>
      </c>
      <c r="L12" s="116">
        <f t="array" ref="L12">IFERROR(SMALL(IF(D$6:D$109="M",E$6:E$109), ROW(A2)),"")</f>
        <v>56</v>
      </c>
      <c r="M12" s="95">
        <v>2</v>
      </c>
      <c r="O12" s="108" t="str">
        <f>A69</f>
        <v>MAURIAC</v>
      </c>
      <c r="P12" s="103">
        <f>SUM(G71:G73)</f>
        <v>185</v>
      </c>
      <c r="Q12" s="93">
        <f>RANK(P12, P$7:P$13, 1) + COUNTIF(P$7:P12, P12) - 1</f>
        <v>5</v>
      </c>
      <c r="S12" s="106" t="str">
        <f t="shared" si="1"/>
        <v>GAZELEC MOULINS/VICHY</v>
      </c>
      <c r="T12" s="118">
        <f t="shared" si="2"/>
        <v>270</v>
      </c>
      <c r="U12" s="93">
        <f t="shared" si="3"/>
        <v>6</v>
      </c>
    </row>
    <row r="13" spans="1:21" ht="19.95" customHeight="1">
      <c r="A13" s="151" t="s">
        <v>45</v>
      </c>
      <c r="B13" s="151" t="s">
        <v>48</v>
      </c>
      <c r="C13" s="194" t="str">
        <f t="shared" si="4"/>
        <v>AnnieROSSI</v>
      </c>
      <c r="D13" s="94" t="s">
        <v>140</v>
      </c>
      <c r="E13" s="73">
        <v>77</v>
      </c>
      <c r="J13" s="98" t="str">
        <f t="array" ref="J13">IFERROR(INDEX(A$6:A$109, MATCH(1, (D$6:D$109="M")*(E$6:E$109=L13)*(COUNTIF(J$10:J12,A$6:A$109)=0), 0)),"")</f>
        <v>JOSSIER</v>
      </c>
      <c r="K13" s="98" t="str">
        <f t="array" ref="K13">IFERROR(INDEX(B$6:B$109, MATCH(1, (D$6:D$109="M")*(E$6:E$109=L13)*(COUNTIF(K$10:K12,B$6:B$109)=0), 0)),"")</f>
        <v>Gilles</v>
      </c>
      <c r="L13" s="116">
        <f t="array" ref="L13">IFERROR(SMALL(IF(D$6:D$109="M",E$6:E$109), ROW(A3)),"")</f>
        <v>56</v>
      </c>
      <c r="M13" s="95">
        <v>3</v>
      </c>
      <c r="O13" s="112" t="str">
        <f>A82</f>
        <v>MONTPENSIER</v>
      </c>
      <c r="P13" s="113">
        <f>SUM(G84:G86)</f>
        <v>270</v>
      </c>
      <c r="Q13" s="93">
        <f>RANK(P13, P$7:P$13, 1) + COUNTIF(P$7:P13, P13) - 1</f>
        <v>7</v>
      </c>
      <c r="S13" s="106" t="str">
        <f t="shared" si="1"/>
        <v>MONTPENSIER</v>
      </c>
      <c r="T13" s="118">
        <f t="shared" si="2"/>
        <v>270</v>
      </c>
      <c r="U13" s="93">
        <f t="shared" si="3"/>
        <v>7</v>
      </c>
    </row>
    <row r="14" spans="1:21" ht="19.95" customHeight="1">
      <c r="A14" s="76"/>
      <c r="B14" s="76"/>
      <c r="C14" s="195"/>
      <c r="D14" s="76"/>
      <c r="E14" s="76"/>
    </row>
    <row r="15" spans="1:21" ht="19.95" customHeight="1">
      <c r="A15" s="76"/>
      <c r="B15" s="76"/>
      <c r="C15" s="195"/>
      <c r="D15" s="76"/>
      <c r="E15" s="76"/>
    </row>
    <row r="16" spans="1:21" ht="19.95" customHeight="1">
      <c r="A16" s="76"/>
      <c r="B16" s="76"/>
      <c r="C16" s="195"/>
      <c r="D16" s="76"/>
      <c r="E16" s="76"/>
      <c r="J16" s="276" t="s">
        <v>143</v>
      </c>
      <c r="K16" s="277"/>
      <c r="L16" s="91" t="s">
        <v>144</v>
      </c>
      <c r="M16" s="99" t="s">
        <v>162</v>
      </c>
    </row>
    <row r="17" spans="1:13" ht="19.95" customHeight="1">
      <c r="A17" s="76"/>
      <c r="B17" s="76"/>
      <c r="C17" s="195"/>
      <c r="D17" s="76"/>
      <c r="E17" s="76"/>
      <c r="J17" s="96" t="s">
        <v>198</v>
      </c>
      <c r="K17" s="96" t="s">
        <v>67</v>
      </c>
      <c r="L17" s="100" t="s">
        <v>212</v>
      </c>
      <c r="M17" s="76"/>
    </row>
    <row r="18" spans="1:13" ht="19.95" customHeight="1">
      <c r="A18" s="76"/>
      <c r="B18" s="76"/>
      <c r="C18" s="83" t="str">
        <f t="shared" si="0"/>
        <v/>
      </c>
      <c r="D18" s="76"/>
      <c r="E18" s="76"/>
    </row>
    <row r="19" spans="1:13" ht="19.95" customHeight="1">
      <c r="A19" s="282" t="s">
        <v>107</v>
      </c>
      <c r="B19" s="283"/>
      <c r="C19" s="283"/>
      <c r="D19" s="283"/>
      <c r="J19" s="276" t="s">
        <v>146</v>
      </c>
      <c r="K19" s="277"/>
      <c r="L19" s="91" t="s">
        <v>144</v>
      </c>
      <c r="M19" s="102" t="s">
        <v>162</v>
      </c>
    </row>
    <row r="20" spans="1:13" ht="19.95" customHeight="1" thickBot="1">
      <c r="A20" s="84" t="s">
        <v>128</v>
      </c>
      <c r="B20" s="85" t="s">
        <v>70</v>
      </c>
      <c r="C20" s="86" t="s">
        <v>134</v>
      </c>
      <c r="D20" s="86" t="s">
        <v>141</v>
      </c>
      <c r="E20" s="73" t="s">
        <v>129</v>
      </c>
      <c r="G20" s="89" t="s">
        <v>135</v>
      </c>
      <c r="J20" s="98" t="s">
        <v>130</v>
      </c>
      <c r="K20" s="98" t="s">
        <v>131</v>
      </c>
      <c r="L20" s="103" t="s">
        <v>211</v>
      </c>
      <c r="M20" s="104"/>
    </row>
    <row r="21" spans="1:13" ht="19.95" customHeight="1">
      <c r="A21" s="153" t="s">
        <v>6</v>
      </c>
      <c r="B21" s="152" t="s">
        <v>7</v>
      </c>
      <c r="C21" s="83" t="str">
        <f t="shared" ref="C21:C86" si="5">TRIM(CONCATENATE(B21,A21))</f>
        <v>RobertBOURGIER</v>
      </c>
      <c r="D21" s="94" t="s">
        <v>139</v>
      </c>
      <c r="E21" s="73">
        <v>56</v>
      </c>
      <c r="G21" s="90">
        <f>SMALL(Tableau41422[BRUT],1)</f>
        <v>56</v>
      </c>
    </row>
    <row r="22" spans="1:13" ht="19.95" customHeight="1">
      <c r="A22" s="153" t="s">
        <v>18</v>
      </c>
      <c r="B22" s="152" t="s">
        <v>19</v>
      </c>
      <c r="C22" s="83" t="str">
        <f t="shared" si="5"/>
        <v>GérardCAMBET</v>
      </c>
      <c r="D22" s="94" t="s">
        <v>139</v>
      </c>
      <c r="E22" s="73">
        <v>60</v>
      </c>
      <c r="G22" s="90">
        <f>SMALL(Tableau41422[BRUT],2)</f>
        <v>57</v>
      </c>
    </row>
    <row r="23" spans="1:13" ht="19.95" customHeight="1">
      <c r="A23" s="153" t="s">
        <v>124</v>
      </c>
      <c r="B23" s="152" t="s">
        <v>33</v>
      </c>
      <c r="C23" s="83" t="str">
        <f t="shared" ref="C23:C29" si="6">TRIM(CONCATENATE(B23,A23))</f>
        <v>SergeFONTANON</v>
      </c>
      <c r="D23" s="94" t="s">
        <v>139</v>
      </c>
      <c r="E23" s="73">
        <v>70</v>
      </c>
      <c r="G23" s="90">
        <f>SMALL(Tableau41422[BRUT],3)</f>
        <v>60</v>
      </c>
    </row>
    <row r="24" spans="1:13" ht="19.95" customHeight="1">
      <c r="A24" s="153" t="s">
        <v>77</v>
      </c>
      <c r="B24" s="152" t="s">
        <v>44</v>
      </c>
      <c r="C24" s="138" t="str">
        <f t="shared" si="6"/>
        <v>GillesFROMAGE</v>
      </c>
      <c r="D24" s="94" t="s">
        <v>139</v>
      </c>
      <c r="E24" s="73">
        <v>76</v>
      </c>
    </row>
    <row r="25" spans="1:13" ht="19.95" customHeight="1">
      <c r="A25" s="153" t="s">
        <v>15</v>
      </c>
      <c r="B25" s="152" t="s">
        <v>16</v>
      </c>
      <c r="C25" s="138" t="str">
        <f t="shared" si="6"/>
        <v>Jean MarcHESEL</v>
      </c>
      <c r="D25" s="94" t="s">
        <v>139</v>
      </c>
      <c r="E25" s="73">
        <v>64</v>
      </c>
    </row>
    <row r="26" spans="1:13" ht="19.95" customHeight="1">
      <c r="A26" s="153" t="s">
        <v>74</v>
      </c>
      <c r="B26" s="152" t="s">
        <v>44</v>
      </c>
      <c r="C26" s="138" t="str">
        <f t="shared" si="6"/>
        <v>GillesVESCOVI</v>
      </c>
      <c r="D26" s="94" t="s">
        <v>139</v>
      </c>
      <c r="E26" s="73">
        <v>57</v>
      </c>
    </row>
    <row r="27" spans="1:13" ht="19.95" customHeight="1">
      <c r="A27" s="153" t="s">
        <v>74</v>
      </c>
      <c r="B27" s="153" t="s">
        <v>78</v>
      </c>
      <c r="C27" s="138" t="str">
        <f t="shared" si="6"/>
        <v>RégineVESCOVI</v>
      </c>
      <c r="D27" s="94" t="s">
        <v>140</v>
      </c>
      <c r="E27" s="73">
        <v>65</v>
      </c>
    </row>
    <row r="28" spans="1:13" ht="19.95" customHeight="1">
      <c r="A28" s="76"/>
      <c r="B28" s="76"/>
      <c r="C28" s="83" t="str">
        <f t="shared" si="6"/>
        <v/>
      </c>
      <c r="D28" s="76"/>
      <c r="E28" s="76"/>
    </row>
    <row r="29" spans="1:13" ht="19.95" customHeight="1">
      <c r="A29" s="76"/>
      <c r="B29" s="76"/>
      <c r="C29" s="83" t="str">
        <f t="shared" si="6"/>
        <v/>
      </c>
      <c r="D29" s="76"/>
      <c r="E29" s="76"/>
    </row>
    <row r="30" spans="1:13" ht="19.95" customHeight="1">
      <c r="A30" s="76"/>
      <c r="B30" s="76"/>
      <c r="C30" s="83" t="str">
        <f t="shared" si="5"/>
        <v/>
      </c>
      <c r="D30" s="76"/>
      <c r="E30" s="76"/>
    </row>
    <row r="31" spans="1:13" ht="19.95" customHeight="1">
      <c r="A31" s="76"/>
      <c r="B31" s="76"/>
      <c r="C31" s="83" t="str">
        <f t="shared" si="5"/>
        <v/>
      </c>
      <c r="D31" s="76"/>
      <c r="E31" s="76"/>
    </row>
    <row r="32" spans="1:13" ht="19.95" customHeight="1">
      <c r="A32" s="284" t="s">
        <v>132</v>
      </c>
      <c r="B32" s="285"/>
      <c r="C32" s="285"/>
      <c r="D32" s="285"/>
    </row>
    <row r="33" spans="1:7" ht="19.95" customHeight="1" thickBot="1">
      <c r="A33" s="84" t="s">
        <v>128</v>
      </c>
      <c r="B33" s="85" t="s">
        <v>70</v>
      </c>
      <c r="C33" s="86" t="s">
        <v>134</v>
      </c>
      <c r="D33" s="86" t="s">
        <v>141</v>
      </c>
      <c r="E33" s="73" t="s">
        <v>129</v>
      </c>
      <c r="G33" s="89" t="s">
        <v>135</v>
      </c>
    </row>
    <row r="34" spans="1:7" ht="19.95" customHeight="1">
      <c r="A34" s="77"/>
      <c r="B34" s="141"/>
      <c r="C34" s="83" t="str">
        <f t="shared" si="5"/>
        <v/>
      </c>
      <c r="D34" s="94"/>
      <c r="E34" s="78">
        <v>90</v>
      </c>
      <c r="G34" s="90">
        <f>SMALL(Tableau51523[BRUT],1)</f>
        <v>90</v>
      </c>
    </row>
    <row r="35" spans="1:7" ht="19.95" customHeight="1">
      <c r="A35" s="77"/>
      <c r="B35" s="141"/>
      <c r="C35" s="83" t="str">
        <f t="shared" si="5"/>
        <v/>
      </c>
      <c r="D35" s="94"/>
      <c r="E35" s="74">
        <v>90</v>
      </c>
      <c r="G35" s="90">
        <f>SMALL(Tableau51523[BRUT],2)</f>
        <v>90</v>
      </c>
    </row>
    <row r="36" spans="1:7" ht="19.95" customHeight="1">
      <c r="A36" s="79"/>
      <c r="B36" s="141"/>
      <c r="C36" s="83" t="str">
        <f t="shared" si="5"/>
        <v/>
      </c>
      <c r="D36" s="94"/>
      <c r="E36" s="74">
        <v>90</v>
      </c>
      <c r="G36" s="90">
        <f>SMALL(Tableau51523[BRUT],3)</f>
        <v>90</v>
      </c>
    </row>
    <row r="37" spans="1:7" ht="19.95" customHeight="1">
      <c r="A37" s="79"/>
      <c r="B37" s="141"/>
      <c r="C37" s="83" t="str">
        <f t="shared" si="5"/>
        <v/>
      </c>
      <c r="D37" s="94"/>
      <c r="E37" s="74">
        <v>90</v>
      </c>
    </row>
    <row r="38" spans="1:7" ht="19.95" customHeight="1">
      <c r="A38" s="76"/>
      <c r="B38" s="76"/>
      <c r="C38" s="83" t="str">
        <f t="shared" si="5"/>
        <v/>
      </c>
      <c r="D38" s="76"/>
      <c r="E38" s="76"/>
    </row>
    <row r="39" spans="1:7" ht="19.95" customHeight="1">
      <c r="A39" s="76"/>
      <c r="B39" s="76"/>
      <c r="C39" s="83" t="str">
        <f t="shared" si="5"/>
        <v/>
      </c>
      <c r="D39" s="76"/>
      <c r="E39" s="76"/>
    </row>
    <row r="40" spans="1:7" ht="19.95" customHeight="1" thickBot="1">
      <c r="A40" s="286" t="s">
        <v>17</v>
      </c>
      <c r="B40" s="287"/>
      <c r="C40" s="287"/>
      <c r="D40" s="287"/>
    </row>
    <row r="41" spans="1:7" ht="19.95" customHeight="1" thickBot="1">
      <c r="A41" s="84" t="s">
        <v>128</v>
      </c>
      <c r="B41" s="85" t="s">
        <v>70</v>
      </c>
      <c r="C41" s="86" t="s">
        <v>134</v>
      </c>
      <c r="D41" s="86" t="s">
        <v>141</v>
      </c>
      <c r="E41" s="73" t="s">
        <v>129</v>
      </c>
      <c r="G41" s="89" t="s">
        <v>135</v>
      </c>
    </row>
    <row r="42" spans="1:7" ht="19.95" customHeight="1">
      <c r="A42" s="149" t="s">
        <v>28</v>
      </c>
      <c r="B42" s="150" t="s">
        <v>23</v>
      </c>
      <c r="C42" s="83" t="str">
        <f t="shared" si="5"/>
        <v>JacquesANAVOISARD</v>
      </c>
      <c r="D42" s="94" t="s">
        <v>139</v>
      </c>
      <c r="E42" s="73">
        <v>70</v>
      </c>
      <c r="G42" s="90">
        <f>SMALL(Tableau61624[BRUT],1)</f>
        <v>57</v>
      </c>
    </row>
    <row r="43" spans="1:7" ht="19.95" customHeight="1">
      <c r="A43" s="149" t="s">
        <v>114</v>
      </c>
      <c r="B43" s="150" t="s">
        <v>7</v>
      </c>
      <c r="C43" s="83" t="str">
        <f t="shared" si="5"/>
        <v>RobertBRUNEL</v>
      </c>
      <c r="D43" s="94" t="s">
        <v>139</v>
      </c>
      <c r="E43" s="73">
        <v>57</v>
      </c>
      <c r="G43" s="90">
        <f>SMALL(Tableau61624[BRUT],2)</f>
        <v>59</v>
      </c>
    </row>
    <row r="44" spans="1:7" ht="19.95" customHeight="1">
      <c r="A44" s="149" t="s">
        <v>79</v>
      </c>
      <c r="B44" s="149" t="s">
        <v>50</v>
      </c>
      <c r="C44" s="194" t="str">
        <f t="shared" ref="C44:C45" si="7">TRIM(CONCATENATE(B44,A44))</f>
        <v>MichelleCIBERT GOTHON</v>
      </c>
      <c r="D44" s="94" t="s">
        <v>140</v>
      </c>
      <c r="E44" s="73">
        <v>78</v>
      </c>
      <c r="G44" s="90">
        <f>SMALL(Tableau61624[BRUT],3)</f>
        <v>59</v>
      </c>
    </row>
    <row r="45" spans="1:7" ht="19.95" customHeight="1">
      <c r="A45" s="149" t="s">
        <v>58</v>
      </c>
      <c r="B45" s="150" t="s">
        <v>40</v>
      </c>
      <c r="C45" s="194" t="str">
        <f t="shared" si="7"/>
        <v>PhilippeCUVIER</v>
      </c>
      <c r="D45" s="94" t="s">
        <v>139</v>
      </c>
      <c r="E45" s="73">
        <v>59</v>
      </c>
    </row>
    <row r="46" spans="1:7" ht="19.95" customHeight="1">
      <c r="A46" s="149" t="s">
        <v>64</v>
      </c>
      <c r="B46" s="150" t="s">
        <v>165</v>
      </c>
      <c r="C46" s="83" t="str">
        <f t="shared" si="5"/>
        <v>Jean-MichelFAURIE</v>
      </c>
      <c r="D46" s="94" t="s">
        <v>139</v>
      </c>
      <c r="E46" s="73">
        <v>67</v>
      </c>
    </row>
    <row r="47" spans="1:7" ht="19.95" customHeight="1">
      <c r="A47" s="149" t="s">
        <v>190</v>
      </c>
      <c r="B47" s="150" t="s">
        <v>105</v>
      </c>
      <c r="C47" s="83" t="str">
        <f t="shared" si="5"/>
        <v>BrunoFLEURY</v>
      </c>
      <c r="D47" s="94" t="s">
        <v>139</v>
      </c>
      <c r="E47" s="73">
        <v>63</v>
      </c>
    </row>
    <row r="48" spans="1:7" ht="19.95" customHeight="1">
      <c r="A48" s="149" t="s">
        <v>204</v>
      </c>
      <c r="B48" s="150" t="s">
        <v>40</v>
      </c>
      <c r="C48" s="83" t="str">
        <f t="shared" si="5"/>
        <v>PhilippeFOURNIER</v>
      </c>
      <c r="D48" s="94" t="s">
        <v>139</v>
      </c>
      <c r="E48" s="73">
        <v>59</v>
      </c>
    </row>
    <row r="49" spans="1:7" ht="19.95" customHeight="1">
      <c r="A49" s="149" t="s">
        <v>59</v>
      </c>
      <c r="B49" s="150" t="s">
        <v>60</v>
      </c>
      <c r="C49" s="83" t="str">
        <f t="shared" si="5"/>
        <v>ClaudeMERCIER</v>
      </c>
      <c r="D49" s="94" t="s">
        <v>139</v>
      </c>
      <c r="E49" s="73">
        <v>64</v>
      </c>
    </row>
    <row r="50" spans="1:7" ht="19.95" customHeight="1">
      <c r="A50" s="149" t="s">
        <v>80</v>
      </c>
      <c r="B50" s="150" t="s">
        <v>68</v>
      </c>
      <c r="C50" s="83" t="str">
        <f t="shared" si="5"/>
        <v>Jean PierreMOUTREUX</v>
      </c>
      <c r="D50" s="94" t="s">
        <v>139</v>
      </c>
      <c r="E50" s="73">
        <v>73</v>
      </c>
    </row>
    <row r="51" spans="1:7" ht="19.95" customHeight="1">
      <c r="A51" s="149" t="s">
        <v>65</v>
      </c>
      <c r="B51" s="150" t="s">
        <v>27</v>
      </c>
      <c r="C51" s="83" t="str">
        <f t="shared" si="5"/>
        <v>DanielPIERROT</v>
      </c>
      <c r="D51" s="94" t="s">
        <v>139</v>
      </c>
      <c r="E51" s="73">
        <v>60</v>
      </c>
    </row>
    <row r="52" spans="1:7" ht="19.95" customHeight="1">
      <c r="A52" s="149" t="s">
        <v>26</v>
      </c>
      <c r="B52" s="150" t="s">
        <v>27</v>
      </c>
      <c r="C52" s="138" t="str">
        <f>TRIM(CONCATENATE(B52,A52))</f>
        <v>DanielVEDEL</v>
      </c>
      <c r="D52" s="94" t="s">
        <v>139</v>
      </c>
      <c r="E52" s="73">
        <v>68</v>
      </c>
    </row>
    <row r="53" spans="1:7" ht="19.95" customHeight="1">
      <c r="A53" s="76"/>
      <c r="B53" s="76"/>
      <c r="C53" s="83" t="str">
        <f t="shared" ref="C53" si="8">TRIM(CONCATENATE(B53,A53))</f>
        <v/>
      </c>
      <c r="D53" s="76"/>
      <c r="E53" s="76"/>
    </row>
    <row r="54" spans="1:7" ht="19.95" customHeight="1">
      <c r="A54" s="76"/>
      <c r="B54" s="76"/>
      <c r="C54" s="83" t="str">
        <f t="shared" si="5"/>
        <v/>
      </c>
      <c r="D54" s="76"/>
      <c r="E54" s="76"/>
    </row>
    <row r="55" spans="1:7" ht="19.95" customHeight="1">
      <c r="A55" s="76"/>
      <c r="B55" s="76"/>
      <c r="C55" s="83" t="str">
        <f t="shared" si="5"/>
        <v/>
      </c>
      <c r="D55" s="76"/>
      <c r="E55" s="76"/>
    </row>
    <row r="56" spans="1:7" ht="19.95" customHeight="1" thickBot="1">
      <c r="A56" s="288" t="s">
        <v>8</v>
      </c>
      <c r="B56" s="289"/>
      <c r="C56" s="289"/>
      <c r="D56" s="289"/>
    </row>
    <row r="57" spans="1:7" ht="19.95" customHeight="1" thickBot="1">
      <c r="A57" s="84" t="s">
        <v>128</v>
      </c>
      <c r="B57" s="85" t="s">
        <v>70</v>
      </c>
      <c r="C57" s="86" t="s">
        <v>134</v>
      </c>
      <c r="D57" s="86" t="s">
        <v>141</v>
      </c>
      <c r="E57" s="73" t="s">
        <v>129</v>
      </c>
      <c r="G57" s="89" t="s">
        <v>135</v>
      </c>
    </row>
    <row r="58" spans="1:7" ht="19.95" customHeight="1">
      <c r="A58" s="196" t="s">
        <v>53</v>
      </c>
      <c r="B58" s="152" t="s">
        <v>205</v>
      </c>
      <c r="C58" s="83" t="str">
        <f t="shared" si="5"/>
        <v>HervéGAILLARD</v>
      </c>
      <c r="D58" s="94" t="s">
        <v>139</v>
      </c>
      <c r="E58" s="73">
        <v>60</v>
      </c>
      <c r="G58" s="90">
        <f>SMALL(Tableau71725[BRUT],1)</f>
        <v>56</v>
      </c>
    </row>
    <row r="59" spans="1:7" ht="19.95" customHeight="1">
      <c r="A59" s="196" t="s">
        <v>20</v>
      </c>
      <c r="B59" s="152" t="s">
        <v>21</v>
      </c>
      <c r="C59" s="83" t="str">
        <f t="shared" si="5"/>
        <v>MarcGRAVELIN</v>
      </c>
      <c r="D59" s="94" t="s">
        <v>139</v>
      </c>
      <c r="E59" s="73">
        <v>74</v>
      </c>
      <c r="G59" s="90">
        <f>SMALL(Tableau71725[BRUT],2)</f>
        <v>58</v>
      </c>
    </row>
    <row r="60" spans="1:7" ht="19.95" customHeight="1">
      <c r="A60" s="196" t="s">
        <v>91</v>
      </c>
      <c r="B60" s="152" t="s">
        <v>44</v>
      </c>
      <c r="C60" s="83" t="str">
        <f t="shared" si="5"/>
        <v>GillesJOSSIER</v>
      </c>
      <c r="D60" s="94" t="s">
        <v>139</v>
      </c>
      <c r="E60" s="73">
        <v>56</v>
      </c>
      <c r="G60" s="90">
        <f>SMALL(Tableau71725[BRUT],3)</f>
        <v>60</v>
      </c>
    </row>
    <row r="61" spans="1:7" ht="19.95" customHeight="1">
      <c r="A61" s="196" t="s">
        <v>13</v>
      </c>
      <c r="B61" s="152" t="s">
        <v>14</v>
      </c>
      <c r="C61" s="83" t="str">
        <f t="shared" si="5"/>
        <v>JeanLOUBAT</v>
      </c>
      <c r="D61" s="94" t="s">
        <v>139</v>
      </c>
      <c r="E61" s="73">
        <v>67</v>
      </c>
    </row>
    <row r="62" spans="1:7" ht="19.95" customHeight="1">
      <c r="A62" s="196" t="s">
        <v>73</v>
      </c>
      <c r="B62" s="196" t="s">
        <v>67</v>
      </c>
      <c r="C62" s="138" t="str">
        <f t="shared" ref="C62:C63" si="9">TRIM(CONCATENATE(B62,A62))</f>
        <v>ElisabethMEYNIAL</v>
      </c>
      <c r="D62" s="94" t="s">
        <v>140</v>
      </c>
      <c r="E62" s="73">
        <v>70</v>
      </c>
    </row>
    <row r="63" spans="1:7" ht="19.95" customHeight="1">
      <c r="A63" s="196" t="s">
        <v>32</v>
      </c>
      <c r="B63" s="196" t="s">
        <v>47</v>
      </c>
      <c r="C63" s="138" t="str">
        <f t="shared" si="9"/>
        <v>HuguettePERRIER</v>
      </c>
      <c r="D63" s="94" t="s">
        <v>140</v>
      </c>
      <c r="E63" s="73">
        <v>71</v>
      </c>
    </row>
    <row r="64" spans="1:7" ht="19.95" customHeight="1">
      <c r="A64" s="196" t="s">
        <v>32</v>
      </c>
      <c r="B64" s="152" t="s">
        <v>33</v>
      </c>
      <c r="C64" s="83" t="str">
        <f t="shared" si="5"/>
        <v>SergePERRIER</v>
      </c>
      <c r="D64" s="94" t="s">
        <v>139</v>
      </c>
      <c r="E64" s="73">
        <v>58</v>
      </c>
    </row>
    <row r="65" spans="1:7" ht="19.95" customHeight="1">
      <c r="A65" s="76"/>
      <c r="B65" s="76"/>
      <c r="C65" s="83" t="str">
        <f t="shared" ref="C65:C66" si="10">TRIM(CONCATENATE(B65,A65))</f>
        <v/>
      </c>
      <c r="D65" s="76"/>
      <c r="E65" s="81"/>
    </row>
    <row r="66" spans="1:7" ht="19.95" customHeight="1">
      <c r="A66" s="76"/>
      <c r="B66" s="76"/>
      <c r="C66" s="83" t="str">
        <f t="shared" si="10"/>
        <v/>
      </c>
      <c r="D66" s="76"/>
      <c r="E66" s="81"/>
    </row>
    <row r="67" spans="1:7" ht="19.95" customHeight="1">
      <c r="A67" s="76"/>
      <c r="B67" s="76"/>
      <c r="C67" s="83" t="str">
        <f t="shared" si="5"/>
        <v/>
      </c>
      <c r="D67" s="76"/>
      <c r="E67" s="81"/>
    </row>
    <row r="68" spans="1:7" ht="19.95" customHeight="1">
      <c r="A68" s="76"/>
      <c r="B68" s="76"/>
      <c r="C68" s="83" t="str">
        <f t="shared" si="5"/>
        <v/>
      </c>
      <c r="D68" s="76"/>
      <c r="E68" s="76"/>
    </row>
    <row r="69" spans="1:7" ht="19.95" customHeight="1" thickBot="1">
      <c r="A69" s="290" t="s">
        <v>63</v>
      </c>
      <c r="B69" s="291"/>
      <c r="C69" s="291"/>
      <c r="D69" s="291"/>
    </row>
    <row r="70" spans="1:7" ht="19.95" customHeight="1" thickBot="1">
      <c r="A70" s="88" t="s">
        <v>128</v>
      </c>
      <c r="B70" s="85" t="s">
        <v>70</v>
      </c>
      <c r="C70" s="86" t="s">
        <v>134</v>
      </c>
      <c r="D70" s="86" t="s">
        <v>141</v>
      </c>
      <c r="E70" s="73" t="s">
        <v>129</v>
      </c>
      <c r="G70" s="89" t="s">
        <v>135</v>
      </c>
    </row>
    <row r="71" spans="1:7" ht="19.2" customHeight="1">
      <c r="A71" s="146" t="s">
        <v>97</v>
      </c>
      <c r="B71" s="147" t="s">
        <v>72</v>
      </c>
      <c r="C71" s="83" t="str">
        <f t="shared" si="5"/>
        <v>DidierBENAZECH</v>
      </c>
      <c r="D71" s="94" t="s">
        <v>139</v>
      </c>
      <c r="E71" s="73">
        <v>65</v>
      </c>
      <c r="G71" s="90">
        <f>SMALL(Tableau81826[BRUT],1)</f>
        <v>53</v>
      </c>
    </row>
    <row r="72" spans="1:7" ht="19.2" customHeight="1">
      <c r="A72" s="146" t="s">
        <v>206</v>
      </c>
      <c r="B72" s="146" t="s">
        <v>207</v>
      </c>
      <c r="C72" s="83" t="str">
        <f t="shared" si="5"/>
        <v>FrançoiseHEBERT</v>
      </c>
      <c r="D72" s="94" t="s">
        <v>140</v>
      </c>
      <c r="E72" s="73">
        <v>67</v>
      </c>
      <c r="G72" s="90">
        <f>SMALL(Tableau81826[BRUT],2)</f>
        <v>65</v>
      </c>
    </row>
    <row r="73" spans="1:7" ht="19.2" customHeight="1">
      <c r="A73" s="146" t="s">
        <v>25</v>
      </c>
      <c r="B73" s="147" t="s">
        <v>12</v>
      </c>
      <c r="C73" s="83" t="str">
        <f t="shared" si="5"/>
        <v>MichelLABAUNE</v>
      </c>
      <c r="D73" s="94" t="s">
        <v>139</v>
      </c>
      <c r="E73" s="73">
        <v>68</v>
      </c>
      <c r="G73" s="90">
        <f>SMALL(Tableau81826[BRUT],3)</f>
        <v>67</v>
      </c>
    </row>
    <row r="74" spans="1:7" ht="19.95" customHeight="1">
      <c r="A74" s="146" t="s">
        <v>208</v>
      </c>
      <c r="B74" s="147" t="s">
        <v>109</v>
      </c>
      <c r="C74" s="83" t="str">
        <f t="shared" si="5"/>
        <v>PatriceMAURIO</v>
      </c>
      <c r="D74" s="94" t="s">
        <v>139</v>
      </c>
      <c r="E74" s="73">
        <v>67</v>
      </c>
    </row>
    <row r="75" spans="1:7" ht="19.95" customHeight="1">
      <c r="A75" s="146" t="s">
        <v>202</v>
      </c>
      <c r="B75" s="147" t="s">
        <v>203</v>
      </c>
      <c r="C75" s="145" t="str">
        <f>TRIM(CONCATENATE(B75,A75))</f>
        <v>Pierre JeanRAYNIERE</v>
      </c>
      <c r="D75" s="94" t="s">
        <v>139</v>
      </c>
      <c r="E75" s="73">
        <v>70</v>
      </c>
    </row>
    <row r="76" spans="1:7" ht="19.95" customHeight="1">
      <c r="A76" s="146" t="s">
        <v>34</v>
      </c>
      <c r="B76" s="147" t="s">
        <v>22</v>
      </c>
      <c r="C76" s="83" t="str">
        <f t="shared" si="5"/>
        <v>Jean LouisRODDE</v>
      </c>
      <c r="D76" s="94" t="s">
        <v>139</v>
      </c>
      <c r="E76" s="73">
        <v>53</v>
      </c>
    </row>
    <row r="77" spans="1:7" ht="19.95" customHeight="1">
      <c r="A77" s="76"/>
      <c r="B77" s="76"/>
      <c r="C77" s="83" t="str">
        <f t="shared" ref="C77:C78" si="11">TRIM(CONCATENATE(B77,A77))</f>
        <v/>
      </c>
      <c r="D77" s="76"/>
      <c r="E77" s="76"/>
    </row>
    <row r="78" spans="1:7" ht="19.95" customHeight="1">
      <c r="A78" s="76"/>
      <c r="B78" s="76"/>
      <c r="C78" s="83" t="str">
        <f t="shared" si="11"/>
        <v/>
      </c>
      <c r="D78" s="76"/>
      <c r="E78" s="76"/>
      <c r="F78" s="76"/>
    </row>
    <row r="79" spans="1:7" ht="19.95" customHeight="1">
      <c r="A79" s="76"/>
      <c r="B79" s="76"/>
      <c r="C79" s="83" t="str">
        <f t="shared" si="5"/>
        <v/>
      </c>
      <c r="D79" s="76"/>
      <c r="E79" s="76"/>
    </row>
    <row r="80" spans="1:7" ht="18.600000000000001">
      <c r="A80" s="76"/>
      <c r="B80" s="76"/>
      <c r="C80" s="142"/>
      <c r="D80" s="76"/>
      <c r="E80" s="76"/>
    </row>
    <row r="81" spans="1:7" ht="18.600000000000001">
      <c r="A81" s="76"/>
      <c r="B81" s="76"/>
      <c r="C81" s="83" t="str">
        <f t="shared" si="5"/>
        <v/>
      </c>
      <c r="D81" s="76"/>
      <c r="E81" s="76"/>
    </row>
    <row r="82" spans="1:7" ht="19.2" thickBot="1">
      <c r="A82" s="278" t="s">
        <v>24</v>
      </c>
      <c r="B82" s="279"/>
      <c r="C82" s="279"/>
      <c r="D82" s="279"/>
    </row>
    <row r="83" spans="1:7" ht="20.399999999999999" thickBot="1">
      <c r="A83" s="84" t="s">
        <v>128</v>
      </c>
      <c r="B83" s="85" t="s">
        <v>70</v>
      </c>
      <c r="C83" s="86" t="s">
        <v>134</v>
      </c>
      <c r="D83" s="86" t="s">
        <v>141</v>
      </c>
      <c r="E83" s="73" t="s">
        <v>129</v>
      </c>
      <c r="G83" s="89" t="s">
        <v>135</v>
      </c>
    </row>
    <row r="84" spans="1:7" ht="18.600000000000001">
      <c r="A84" s="148"/>
      <c r="B84" s="148"/>
      <c r="C84" s="83" t="str">
        <f t="shared" si="5"/>
        <v/>
      </c>
      <c r="D84" s="94" t="s">
        <v>140</v>
      </c>
      <c r="E84" s="73">
        <v>90</v>
      </c>
      <c r="G84" s="90">
        <f>SMALL(Tableau91927[BRUT],1)</f>
        <v>90</v>
      </c>
    </row>
    <row r="85" spans="1:7" ht="18.600000000000001">
      <c r="A85" s="148"/>
      <c r="B85" s="148"/>
      <c r="C85" s="83" t="str">
        <f t="shared" si="5"/>
        <v/>
      </c>
      <c r="D85" s="94" t="s">
        <v>140</v>
      </c>
      <c r="E85" s="73">
        <v>90</v>
      </c>
      <c r="G85" s="90">
        <f>SMALL(Tableau91927[BRUT],2)</f>
        <v>90</v>
      </c>
    </row>
    <row r="86" spans="1:7" ht="18.600000000000001">
      <c r="A86" s="148"/>
      <c r="B86" s="148"/>
      <c r="C86" s="83" t="str">
        <f t="shared" si="5"/>
        <v/>
      </c>
      <c r="D86" s="94" t="s">
        <v>140</v>
      </c>
      <c r="E86" s="73">
        <v>90</v>
      </c>
      <c r="G86" s="90">
        <f>SMALL(Tableau91927[BRUT],3)</f>
        <v>90</v>
      </c>
    </row>
  </sheetData>
  <mergeCells count="12">
    <mergeCell ref="A82:D82"/>
    <mergeCell ref="A1:I1"/>
    <mergeCell ref="A3:D3"/>
    <mergeCell ref="J5:K5"/>
    <mergeCell ref="J10:K10"/>
    <mergeCell ref="A19:D19"/>
    <mergeCell ref="J16:K16"/>
    <mergeCell ref="J19:K19"/>
    <mergeCell ref="A32:D32"/>
    <mergeCell ref="A40:D40"/>
    <mergeCell ref="A56:D56"/>
    <mergeCell ref="A69:D69"/>
  </mergeCells>
  <dataValidations count="2">
    <dataValidation type="list" allowBlank="1" showInputMessage="1" showErrorMessage="1" sqref="B42:B52" xr:uid="{00000000-0002-0000-0400-000000000000}">
      <formula1>NOM</formula1>
    </dataValidation>
    <dataValidation type="list" allowBlank="1" showInputMessage="1" showErrorMessage="1" sqref="J17 J19" xr:uid="{00000000-0002-0000-0400-000001000000}">
      <formula1>NOMBIS</formula1>
    </dataValidation>
  </dataValidations>
  <pageMargins left="0.7" right="0.7" top="0.75" bottom="0.75" header="0.3" footer="0.3"/>
  <pageSetup paperSize="9"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U71"/>
  <sheetViews>
    <sheetView workbookViewId="0">
      <selection activeCell="L9" sqref="L9"/>
    </sheetView>
  </sheetViews>
  <sheetFormatPr baseColWidth="10" defaultRowHeight="13.2"/>
  <cols>
    <col min="1" max="1" width="30.109375" bestFit="1" customWidth="1"/>
    <col min="2" max="2" width="19.109375" customWidth="1"/>
    <col min="3" max="3" width="13.109375" hidden="1" customWidth="1"/>
    <col min="4" max="4" width="4.6640625" customWidth="1"/>
    <col min="5" max="5" width="8.44140625" customWidth="1"/>
    <col min="6" max="6" width="8.6640625" customWidth="1"/>
    <col min="7" max="7" width="14.33203125" bestFit="1" customWidth="1"/>
    <col min="8" max="8" width="3" customWidth="1"/>
    <col min="9" max="9" width="3.6640625" customWidth="1"/>
    <col min="10" max="10" width="21.109375" customWidth="1"/>
    <col min="11" max="11" width="18" customWidth="1"/>
    <col min="12" max="12" width="15.33203125" customWidth="1"/>
    <col min="13" max="13" width="13" bestFit="1" customWidth="1"/>
    <col min="14" max="14" width="11" customWidth="1"/>
    <col min="15" max="15" width="12.77734375" hidden="1" customWidth="1"/>
    <col min="16" max="16" width="8.109375" hidden="1" customWidth="1"/>
    <col min="17" max="17" width="6.77734375" hidden="1" customWidth="1"/>
    <col min="18" max="18" width="4.77734375" customWidth="1"/>
    <col min="19" max="19" width="30.44140625" bestFit="1" customWidth="1"/>
    <col min="20" max="20" width="9.44140625" bestFit="1" customWidth="1"/>
    <col min="21" max="21" width="13" bestFit="1" customWidth="1"/>
  </cols>
  <sheetData>
    <row r="1" spans="1:21" ht="67.8" customHeight="1" thickBot="1">
      <c r="A1" s="271" t="s">
        <v>187</v>
      </c>
      <c r="B1" s="272"/>
      <c r="C1" s="272"/>
      <c r="D1" s="272"/>
      <c r="E1" s="272"/>
      <c r="F1" s="272"/>
      <c r="G1" s="272"/>
      <c r="H1" s="272"/>
      <c r="I1" s="273"/>
    </row>
    <row r="3" spans="1:21" ht="19.2" thickBot="1">
      <c r="A3" s="280" t="s">
        <v>11</v>
      </c>
      <c r="B3" s="281"/>
      <c r="C3" s="281"/>
      <c r="D3" s="281"/>
    </row>
    <row r="4" spans="1:21" ht="19.95" customHeight="1" thickBot="1">
      <c r="A4" s="84" t="s">
        <v>128</v>
      </c>
      <c r="B4" s="85" t="s">
        <v>70</v>
      </c>
      <c r="C4" s="86" t="s">
        <v>134</v>
      </c>
      <c r="D4" s="86" t="s">
        <v>141</v>
      </c>
      <c r="E4" s="73" t="s">
        <v>129</v>
      </c>
      <c r="G4" s="89" t="s">
        <v>135</v>
      </c>
    </row>
    <row r="5" spans="1:21" ht="19.95" customHeight="1">
      <c r="A5" s="151" t="s">
        <v>198</v>
      </c>
      <c r="B5" s="151" t="s">
        <v>67</v>
      </c>
      <c r="C5" s="83" t="str">
        <f>TRIM(CONCATENATE(B5,A5))</f>
        <v>ElisabethBRIDIER</v>
      </c>
      <c r="D5" s="94" t="s">
        <v>140</v>
      </c>
      <c r="E5" s="73">
        <v>78</v>
      </c>
      <c r="G5" s="90">
        <f>SMALL(Tableau3132129[BRUT],1)</f>
        <v>62</v>
      </c>
      <c r="J5" s="274" t="s">
        <v>136</v>
      </c>
      <c r="K5" s="275"/>
      <c r="L5" s="114" t="s">
        <v>137</v>
      </c>
      <c r="M5" s="92" t="s">
        <v>138</v>
      </c>
    </row>
    <row r="6" spans="1:21" ht="19.95" customHeight="1">
      <c r="A6" s="151" t="s">
        <v>9</v>
      </c>
      <c r="B6" s="152" t="s">
        <v>10</v>
      </c>
      <c r="C6" s="83" t="str">
        <f t="shared" ref="C6:C14" si="0">TRIM(CONCATENATE(B6,A6))</f>
        <v>AlainJEANDREAU</v>
      </c>
      <c r="D6" s="94" t="s">
        <v>139</v>
      </c>
      <c r="E6" s="73">
        <v>62</v>
      </c>
      <c r="G6" s="90">
        <f>SMALL(Tableau3132129[BRUT],2)</f>
        <v>63</v>
      </c>
      <c r="J6" s="96" t="str">
        <f t="array" ref="J6">IFERROR(INDEX(A$5:A$94, MATCH(1, (D$5:D$94="F")*(E$5:E$94=L6)*(COUNTIF(J$5:J5,A$5:A$94)=0), 0)),"")</f>
        <v>CIBERT GOTHON</v>
      </c>
      <c r="K6" s="96" t="str">
        <f t="array" ref="K6">IFERROR(INDEX(B$5:B$94, MATCH(1, (D$5:D$94="F")*(E$5:E$94=L6)*(COUNTIF(L$5:L5,E$5:E$94)=0), 0)),"")</f>
        <v>Michelle</v>
      </c>
      <c r="L6" s="115">
        <f t="array" ref="L6">IFERROR(SMALL(IF(D$6:D$94="F",E$6:E$94), ROW(A1)),"")</f>
        <v>69</v>
      </c>
      <c r="M6" s="93">
        <v>1</v>
      </c>
      <c r="O6" s="109" t="s">
        <v>147</v>
      </c>
      <c r="P6" s="110" t="s">
        <v>148</v>
      </c>
      <c r="Q6" s="111" t="s">
        <v>138</v>
      </c>
      <c r="S6" s="105" t="s">
        <v>147</v>
      </c>
      <c r="T6" s="117" t="s">
        <v>148</v>
      </c>
      <c r="U6" s="107" t="s">
        <v>138</v>
      </c>
    </row>
    <row r="7" spans="1:21" ht="19.95" customHeight="1">
      <c r="A7" s="151" t="s">
        <v>130</v>
      </c>
      <c r="B7" s="152" t="s">
        <v>131</v>
      </c>
      <c r="C7" s="83" t="str">
        <f t="shared" si="0"/>
        <v>RolandJUHLIEN</v>
      </c>
      <c r="D7" s="94" t="s">
        <v>139</v>
      </c>
      <c r="E7" s="73">
        <v>69</v>
      </c>
      <c r="G7" s="90">
        <f>SMALL(Tableau3132129[BRUT],3)</f>
        <v>69</v>
      </c>
      <c r="J7" s="97" t="str">
        <f t="array" ref="J7">IFERROR(INDEX(A$6:A$94, MATCH(1, (D$6:D$94="F")*(E$6:E$94=L7)*(COUNTIF(J$5:J6,A$6:A$94)=0), 0)),"")</f>
        <v>FLORENCIO</v>
      </c>
      <c r="K7" s="97" t="str">
        <f t="array" ref="K7">IFERROR(INDEX(B$6:B$94, MATCH(1, (D$6:D$94="F")*(E$6:E$94=L7)*(COUNTIF(K$5:K6,B$6:B$94)=0), 0)),"")</f>
        <v>Janine</v>
      </c>
      <c r="L7" s="115">
        <f t="array" ref="L7">IFERROR(SMALL(IF((D$5:D$94="F")*(COUNTIF(L$5:L5,E$5:E$94)=0), E$5:E$94), ROW(A2)),"")</f>
        <v>71</v>
      </c>
      <c r="M7" s="93">
        <v>2</v>
      </c>
      <c r="O7" s="108" t="str">
        <f>A3</f>
        <v>RIOM</v>
      </c>
      <c r="P7" s="103">
        <f>SUM(G5:G7)</f>
        <v>194</v>
      </c>
      <c r="Q7" s="93">
        <f>RANK(P7, P$7:P$13, 1) + COUNTIF(P$7:P7, P7) - 1</f>
        <v>1</v>
      </c>
      <c r="S7" s="106" t="str">
        <f>INDEX(O$7:O$13, MATCH(ROW(A1), Q$7:Q$13, 0))</f>
        <v>RIOM</v>
      </c>
      <c r="T7" s="118">
        <f>INDEX(P$7:P$13, MATCH(ROW(A1), Q$7:Q$13, 0))</f>
        <v>194</v>
      </c>
      <c r="U7" s="93">
        <f>ROW(A1)</f>
        <v>1</v>
      </c>
    </row>
    <row r="8" spans="1:21" ht="19.95" customHeight="1">
      <c r="A8" s="151" t="s">
        <v>43</v>
      </c>
      <c r="B8" s="152" t="s">
        <v>37</v>
      </c>
      <c r="C8" s="138" t="str">
        <f>TRIM(CONCATENATE(B8,A8))</f>
        <v>JackyMACHAJ</v>
      </c>
      <c r="D8" s="94" t="s">
        <v>139</v>
      </c>
      <c r="E8" s="73">
        <v>63</v>
      </c>
      <c r="J8" s="97" t="s">
        <v>81</v>
      </c>
      <c r="K8" s="97" t="s">
        <v>82</v>
      </c>
      <c r="L8" s="115">
        <v>71</v>
      </c>
      <c r="M8" s="93">
        <v>3</v>
      </c>
      <c r="O8" s="108" t="str">
        <f>A15</f>
        <v>GAZELEC CLERMONT</v>
      </c>
      <c r="P8" s="103">
        <f>SUM(G17:G19)</f>
        <v>199</v>
      </c>
      <c r="Q8" s="93">
        <f>RANK(P8, P$7:P$13, 1) + COUNTIF(P$7:P8, P8) - 1</f>
        <v>2</v>
      </c>
      <c r="S8" s="106" t="str">
        <f t="shared" ref="S8:S13" si="1">INDEX(O$7:O$13, MATCH(ROW(A2), Q$7:Q$13, 0))</f>
        <v>GAZELEC CLERMONT</v>
      </c>
      <c r="T8" s="118">
        <f>INDEX(P$7:P$13, MATCH(ROW(A2), Q$7:Q$13, 0))</f>
        <v>199</v>
      </c>
      <c r="U8" s="93">
        <f t="shared" ref="U8:U13" si="2">ROW(A2)</f>
        <v>2</v>
      </c>
    </row>
    <row r="9" spans="1:21" ht="19.95" customHeight="1">
      <c r="A9" s="151" t="s">
        <v>45</v>
      </c>
      <c r="B9" s="151" t="s">
        <v>48</v>
      </c>
      <c r="C9" s="138" t="str">
        <f>TRIM(CONCATENATE(B9,A9))</f>
        <v>AnnieROSSI</v>
      </c>
      <c r="D9" s="94" t="s">
        <v>140</v>
      </c>
      <c r="E9" s="73">
        <v>77</v>
      </c>
      <c r="O9" s="108" t="str">
        <f>A31</f>
        <v>GAZELEC MOULINS/VICHY</v>
      </c>
      <c r="P9" s="103">
        <f>SUM(G32:G34)</f>
        <v>270</v>
      </c>
      <c r="Q9" s="93">
        <f>RANK(P9, P$7:P$13, 1) + COUNTIF(P$7:P9, P9) - 1</f>
        <v>7</v>
      </c>
      <c r="S9" s="106" t="str">
        <f t="shared" si="1"/>
        <v>MAURIAC</v>
      </c>
      <c r="T9" s="118">
        <f t="shared" ref="T9:T13" si="3">INDEX(P$7:P$13, MATCH(ROW(A3), Q$7:Q$13, 0))</f>
        <v>203</v>
      </c>
      <c r="U9" s="93">
        <f t="shared" si="2"/>
        <v>3</v>
      </c>
    </row>
    <row r="10" spans="1:21" ht="19.95" customHeight="1">
      <c r="A10" s="76"/>
      <c r="B10" s="76"/>
      <c r="C10" s="83" t="str">
        <f t="shared" ref="C10:C12" si="4">TRIM(CONCATENATE(B10,A10))</f>
        <v/>
      </c>
      <c r="D10" s="76"/>
      <c r="E10" s="76"/>
      <c r="J10" s="274" t="s">
        <v>142</v>
      </c>
      <c r="K10" s="275"/>
      <c r="L10" s="114" t="s">
        <v>137</v>
      </c>
      <c r="M10" s="92" t="s">
        <v>138</v>
      </c>
      <c r="O10" s="108" t="str">
        <f>A39</f>
        <v>VAL D'AUZON</v>
      </c>
      <c r="P10" s="103">
        <f>SUM(G40:G42)</f>
        <v>213</v>
      </c>
      <c r="Q10" s="93">
        <f>RANK(P10, P$7:P$13, 1) + COUNTIF(P$7:P10, P10) - 1</f>
        <v>5</v>
      </c>
      <c r="S10" s="106" t="str">
        <f t="shared" si="1"/>
        <v>CHARADE</v>
      </c>
      <c r="T10" s="118">
        <f t="shared" si="3"/>
        <v>208</v>
      </c>
      <c r="U10" s="93">
        <f t="shared" si="2"/>
        <v>4</v>
      </c>
    </row>
    <row r="11" spans="1:21" ht="19.95" customHeight="1">
      <c r="A11" s="76"/>
      <c r="B11" s="76"/>
      <c r="C11" s="83" t="str">
        <f t="shared" si="4"/>
        <v/>
      </c>
      <c r="D11" s="76"/>
      <c r="E11" s="76"/>
      <c r="J11" s="98" t="str">
        <f t="array" ref="J11">IFERROR(INDEX(A$5:A$94, MATCH(1, (D$5:D$94="M")*(E$5:E$94=L11)*(COUNTIF(J$10:J10,A$5:A$94)=0), 0)),"")</f>
        <v>JOSSIER</v>
      </c>
      <c r="K11" s="98" t="str">
        <f t="array" ref="K11">IFERROR(INDEX(B$5:B$94, MATCH(1, (D$5:D$94="M")*(E$5:E$94=L11)*(COUNTIF(L$10:L10,E$5:E$94)=0), 0)),"")</f>
        <v>Gilles</v>
      </c>
      <c r="L11" s="116">
        <f t="array" ref="L11">IFERROR(SMALL(IF(D$5:D$94="M",E$5:E$94), ROW(A1)),"")</f>
        <v>59</v>
      </c>
      <c r="M11" s="95">
        <v>1</v>
      </c>
      <c r="O11" s="108" t="str">
        <f>A49</f>
        <v>CHARADE</v>
      </c>
      <c r="P11" s="103">
        <f>SUM(G50:G52)</f>
        <v>208</v>
      </c>
      <c r="Q11" s="93">
        <f>RANK(P11, P$7:P$13, 1) + COUNTIF(P$7:P11, P11) - 1</f>
        <v>4</v>
      </c>
      <c r="S11" s="106" t="str">
        <f t="shared" si="1"/>
        <v>VAL D'AUZON</v>
      </c>
      <c r="T11" s="118">
        <f t="shared" si="3"/>
        <v>213</v>
      </c>
      <c r="U11" s="93">
        <f t="shared" si="2"/>
        <v>5</v>
      </c>
    </row>
    <row r="12" spans="1:21" ht="19.95" customHeight="1">
      <c r="A12" s="76"/>
      <c r="B12" s="76"/>
      <c r="C12" s="83" t="str">
        <f t="shared" si="4"/>
        <v/>
      </c>
      <c r="D12" s="76"/>
      <c r="E12" s="76"/>
      <c r="J12" s="98" t="str">
        <f t="array" ref="J12">IFERROR(INDEX(A$5:A$94, MATCH(1, (D$5:D$94="M")*(E$5:E$94=L12)*(COUNTIF(J$10:J11,A$5:A$94)=0), 0)),"")</f>
        <v>JEANDREAU</v>
      </c>
      <c r="K12" s="98" t="str">
        <f t="array" ref="K12">IFERROR(INDEX(B$5:B$94, MATCH(1, (D$5:D$94="M")*(E$5:E$94=L12)*(COUNTIF(K$10:K11,B$5:B$94)=0), 0)),"")</f>
        <v>Alain</v>
      </c>
      <c r="L12" s="116">
        <f t="array" ref="L12">IFERROR(SMALL(IF(D$5:D$94="M",E$5:E$94), ROW(A2)),"")</f>
        <v>62</v>
      </c>
      <c r="M12" s="95">
        <v>2</v>
      </c>
      <c r="O12" s="108" t="str">
        <f>A57</f>
        <v>MAURIAC</v>
      </c>
      <c r="P12" s="103">
        <f>SUM(G58:G60)</f>
        <v>203</v>
      </c>
      <c r="Q12" s="93">
        <f>RANK(P12, P$7:P$13, 1) + COUNTIF(P$7:P12, P12) - 1</f>
        <v>3</v>
      </c>
      <c r="S12" s="106" t="str">
        <f t="shared" si="1"/>
        <v>MONTPENSIER</v>
      </c>
      <c r="T12" s="118">
        <f t="shared" si="3"/>
        <v>238</v>
      </c>
      <c r="U12" s="93">
        <f t="shared" si="2"/>
        <v>6</v>
      </c>
    </row>
    <row r="13" spans="1:21" ht="19.95" customHeight="1">
      <c r="A13" s="76"/>
      <c r="B13" s="76"/>
      <c r="C13" s="83" t="str">
        <f t="shared" si="0"/>
        <v/>
      </c>
      <c r="D13" s="76"/>
      <c r="E13" s="76"/>
      <c r="J13" s="98" t="str">
        <f t="array" ref="J13">IFERROR(INDEX(A$5:A$94, MATCH(1, (D$5:D$94="M")*(E$5:E$94=L13)*(COUNTIF(J$10:J12,A$5:A$94)=0), 0)),"")</f>
        <v>MACHAJ</v>
      </c>
      <c r="K13" s="98" t="str">
        <f t="array" ref="K13">IFERROR(INDEX(B$6:B$94, MATCH(1, (D$6:D$94="M")*(E$6:E$94=L13)*(COUNTIF(K$10:K12,B$6:B$94)=0), 0)),"")</f>
        <v>Jacky</v>
      </c>
      <c r="L13" s="116">
        <f t="array" ref="L13">IFERROR(SMALL(IF(D$5:D$94="M",E$5:E$94), ROW(A3)),"")</f>
        <v>63</v>
      </c>
      <c r="M13" s="95">
        <v>3</v>
      </c>
      <c r="O13" s="112" t="str">
        <f>A67</f>
        <v>MONTPENSIER</v>
      </c>
      <c r="P13" s="113">
        <f>SUM(G68:G70)</f>
        <v>238</v>
      </c>
      <c r="Q13" s="93">
        <f>RANK(P13, P$7:P$13, 1) + COUNTIF(P$7:P13, P13) - 1</f>
        <v>6</v>
      </c>
      <c r="S13" s="106" t="str">
        <f t="shared" si="1"/>
        <v>GAZELEC MOULINS/VICHY</v>
      </c>
      <c r="T13" s="118">
        <f t="shared" si="3"/>
        <v>270</v>
      </c>
      <c r="U13" s="93">
        <f t="shared" si="2"/>
        <v>7</v>
      </c>
    </row>
    <row r="14" spans="1:21" ht="19.95" customHeight="1">
      <c r="A14" s="76"/>
      <c r="B14" s="76"/>
      <c r="C14" s="83" t="str">
        <f t="shared" si="0"/>
        <v/>
      </c>
      <c r="D14" s="76"/>
      <c r="E14" s="76"/>
    </row>
    <row r="15" spans="1:21" ht="19.95" customHeight="1">
      <c r="A15" s="282" t="s">
        <v>107</v>
      </c>
      <c r="B15" s="283"/>
      <c r="C15" s="283"/>
      <c r="D15" s="283"/>
    </row>
    <row r="16" spans="1:21" ht="19.95" customHeight="1" thickBot="1">
      <c r="A16" s="84" t="s">
        <v>128</v>
      </c>
      <c r="B16" s="85" t="s">
        <v>70</v>
      </c>
      <c r="C16" s="86" t="s">
        <v>134</v>
      </c>
      <c r="D16" s="86" t="s">
        <v>141</v>
      </c>
      <c r="E16" s="73" t="s">
        <v>129</v>
      </c>
      <c r="G16" s="89" t="s">
        <v>135</v>
      </c>
      <c r="J16" s="276" t="s">
        <v>143</v>
      </c>
      <c r="K16" s="277"/>
      <c r="L16" s="91" t="s">
        <v>144</v>
      </c>
      <c r="M16" s="99" t="s">
        <v>216</v>
      </c>
    </row>
    <row r="17" spans="1:13" ht="19.95" customHeight="1">
      <c r="A17" s="153" t="s">
        <v>6</v>
      </c>
      <c r="B17" s="150" t="s">
        <v>7</v>
      </c>
      <c r="C17" s="83" t="str">
        <f t="shared" ref="C17:C71" si="5">TRIM(CONCATENATE(B17,A17))</f>
        <v>RobertBOURGIER</v>
      </c>
      <c r="D17" s="94" t="s">
        <v>139</v>
      </c>
      <c r="E17" s="73">
        <v>66</v>
      </c>
      <c r="G17" s="90">
        <f>SMALL(Tableau4142230[BRUT],1)</f>
        <v>66</v>
      </c>
      <c r="J17" s="96" t="s">
        <v>89</v>
      </c>
      <c r="K17" s="96" t="s">
        <v>90</v>
      </c>
      <c r="L17" s="103" t="s">
        <v>217</v>
      </c>
      <c r="M17" s="76"/>
    </row>
    <row r="18" spans="1:13" ht="19.95" customHeight="1">
      <c r="A18" s="153" t="s">
        <v>18</v>
      </c>
      <c r="B18" s="152" t="s">
        <v>19</v>
      </c>
      <c r="C18" s="83" t="str">
        <f t="shared" si="5"/>
        <v>GérardCAMBET</v>
      </c>
      <c r="D18" s="94" t="s">
        <v>139</v>
      </c>
      <c r="E18" s="73">
        <v>67</v>
      </c>
      <c r="G18" s="90">
        <f>SMALL(Tableau4142230[BRUT],2)</f>
        <v>66</v>
      </c>
      <c r="J18" s="101"/>
      <c r="K18" s="101"/>
      <c r="L18" s="101"/>
      <c r="M18" s="76"/>
    </row>
    <row r="19" spans="1:13" ht="19.95" customHeight="1">
      <c r="A19" s="153" t="s">
        <v>18</v>
      </c>
      <c r="B19" s="153" t="s">
        <v>83</v>
      </c>
      <c r="C19" s="83" t="str">
        <f t="shared" si="5"/>
        <v>JocelyneCAMBET</v>
      </c>
      <c r="D19" s="94" t="s">
        <v>140</v>
      </c>
      <c r="E19" s="73">
        <v>85</v>
      </c>
      <c r="G19" s="90">
        <f>SMALL(Tableau4142230[BRUT],3)</f>
        <v>67</v>
      </c>
      <c r="J19" s="276" t="s">
        <v>146</v>
      </c>
      <c r="K19" s="277"/>
      <c r="L19" s="91" t="s">
        <v>144</v>
      </c>
      <c r="M19" s="102" t="s">
        <v>216</v>
      </c>
    </row>
    <row r="20" spans="1:13" ht="19.95" customHeight="1">
      <c r="A20" s="153" t="s">
        <v>89</v>
      </c>
      <c r="B20" s="152" t="s">
        <v>31</v>
      </c>
      <c r="C20" s="83" t="str">
        <f t="shared" si="5"/>
        <v>GeorgesFLORENCIO</v>
      </c>
      <c r="D20" s="94" t="s">
        <v>139</v>
      </c>
      <c r="E20" s="73">
        <v>71</v>
      </c>
      <c r="J20" s="149" t="s">
        <v>28</v>
      </c>
      <c r="K20" s="98" t="s">
        <v>23</v>
      </c>
      <c r="L20" s="103" t="s">
        <v>218</v>
      </c>
      <c r="M20" s="104"/>
    </row>
    <row r="21" spans="1:13" ht="19.95" customHeight="1">
      <c r="A21" s="153" t="s">
        <v>89</v>
      </c>
      <c r="B21" s="153" t="s">
        <v>90</v>
      </c>
      <c r="C21" s="83" t="str">
        <f t="shared" si="5"/>
        <v>JanineFLORENCIO</v>
      </c>
      <c r="D21" s="94" t="s">
        <v>140</v>
      </c>
      <c r="E21" s="73">
        <v>71</v>
      </c>
    </row>
    <row r="22" spans="1:13" ht="19.95" customHeight="1">
      <c r="A22" s="153" t="s">
        <v>124</v>
      </c>
      <c r="B22" s="150" t="s">
        <v>33</v>
      </c>
      <c r="C22" s="83" t="str">
        <f t="shared" si="5"/>
        <v>SergeFONTANON</v>
      </c>
      <c r="D22" s="94" t="s">
        <v>139</v>
      </c>
      <c r="E22" s="73">
        <v>72</v>
      </c>
    </row>
    <row r="23" spans="1:13" ht="19.95" customHeight="1">
      <c r="A23" s="153" t="s">
        <v>77</v>
      </c>
      <c r="B23" s="152" t="s">
        <v>44</v>
      </c>
      <c r="C23" s="83" t="str">
        <f t="shared" si="5"/>
        <v>GillesFROMAGE</v>
      </c>
      <c r="D23" s="94" t="s">
        <v>139</v>
      </c>
      <c r="E23" s="73">
        <v>82</v>
      </c>
    </row>
    <row r="24" spans="1:13" ht="19.95" customHeight="1">
      <c r="A24" s="153" t="s">
        <v>54</v>
      </c>
      <c r="B24" s="152" t="s">
        <v>12</v>
      </c>
      <c r="C24" s="83" t="str">
        <f t="shared" si="5"/>
        <v>MichelMANOUVRIER</v>
      </c>
      <c r="D24" s="94" t="s">
        <v>139</v>
      </c>
      <c r="E24" s="73">
        <v>80</v>
      </c>
    </row>
    <row r="25" spans="1:13" ht="19.95" customHeight="1">
      <c r="A25" s="153" t="s">
        <v>56</v>
      </c>
      <c r="B25" s="153" t="s">
        <v>57</v>
      </c>
      <c r="C25" s="83" t="str">
        <f t="shared" si="5"/>
        <v>CorinneTIXIER</v>
      </c>
      <c r="D25" s="94" t="s">
        <v>140</v>
      </c>
      <c r="E25" s="73">
        <v>85</v>
      </c>
    </row>
    <row r="26" spans="1:13" ht="19.95" customHeight="1">
      <c r="A26" s="153" t="s">
        <v>74</v>
      </c>
      <c r="B26" s="152" t="s">
        <v>44</v>
      </c>
      <c r="C26" s="83" t="str">
        <f t="shared" si="5"/>
        <v>GillesVESCOVI</v>
      </c>
      <c r="D26" s="94" t="s">
        <v>139</v>
      </c>
      <c r="E26" s="73">
        <v>66</v>
      </c>
    </row>
    <row r="27" spans="1:13" ht="19.95" customHeight="1">
      <c r="A27" s="153" t="s">
        <v>74</v>
      </c>
      <c r="B27" s="153" t="s">
        <v>78</v>
      </c>
      <c r="C27" s="194" t="str">
        <f>TRIM(CONCATENATE(B27,A27))</f>
        <v>RégineVESCOVI</v>
      </c>
      <c r="D27" s="94" t="s">
        <v>140</v>
      </c>
      <c r="E27" s="73">
        <v>77</v>
      </c>
    </row>
    <row r="28" spans="1:13" ht="19.95" customHeight="1">
      <c r="A28" s="76"/>
      <c r="B28" s="76"/>
      <c r="C28" s="83" t="str">
        <f t="shared" si="5"/>
        <v/>
      </c>
      <c r="D28" s="76"/>
      <c r="E28" s="76"/>
    </row>
    <row r="29" spans="1:13" ht="19.95" customHeight="1">
      <c r="A29" s="76"/>
      <c r="B29" s="76"/>
      <c r="C29" s="195"/>
      <c r="D29" s="76"/>
      <c r="E29" s="76"/>
    </row>
    <row r="30" spans="1:13" ht="19.95" customHeight="1">
      <c r="A30" s="76"/>
      <c r="B30" s="76"/>
      <c r="C30" s="83" t="str">
        <f t="shared" si="5"/>
        <v/>
      </c>
      <c r="D30" s="76"/>
      <c r="E30" s="76"/>
    </row>
    <row r="31" spans="1:13" ht="19.95" customHeight="1">
      <c r="A31" s="284" t="s">
        <v>132</v>
      </c>
      <c r="B31" s="285"/>
      <c r="C31" s="285"/>
      <c r="D31" s="285"/>
      <c r="G31" s="89" t="s">
        <v>135</v>
      </c>
    </row>
    <row r="32" spans="1:13" ht="19.95" customHeight="1" thickBot="1">
      <c r="A32" s="84" t="s">
        <v>128</v>
      </c>
      <c r="B32" s="85" t="s">
        <v>70</v>
      </c>
      <c r="C32" s="86" t="s">
        <v>134</v>
      </c>
      <c r="D32" s="86" t="s">
        <v>141</v>
      </c>
      <c r="E32" s="73" t="s">
        <v>129</v>
      </c>
      <c r="G32" s="90">
        <f>SMALL(Tableau5152331[BRUT],1)</f>
        <v>90</v>
      </c>
    </row>
    <row r="33" spans="1:7" ht="19.95" customHeight="1">
      <c r="A33" s="77"/>
      <c r="B33" s="77"/>
      <c r="C33" s="83" t="str">
        <f t="shared" si="5"/>
        <v/>
      </c>
      <c r="D33" s="94"/>
      <c r="E33" s="78">
        <v>90</v>
      </c>
      <c r="G33" s="90">
        <f>SMALL(Tableau5152331[BRUT],2)</f>
        <v>90</v>
      </c>
    </row>
    <row r="34" spans="1:7" ht="19.95" customHeight="1">
      <c r="A34" s="77"/>
      <c r="B34" s="77"/>
      <c r="C34" s="83" t="str">
        <f t="shared" si="5"/>
        <v/>
      </c>
      <c r="D34" s="94"/>
      <c r="E34" s="74">
        <v>90</v>
      </c>
      <c r="G34" s="90">
        <f>SMALL(Tableau5152331[BRUT],3)</f>
        <v>90</v>
      </c>
    </row>
    <row r="35" spans="1:7" ht="19.95" customHeight="1">
      <c r="A35" s="79"/>
      <c r="B35" s="77"/>
      <c r="C35" s="83" t="str">
        <f t="shared" si="5"/>
        <v/>
      </c>
      <c r="D35" s="94"/>
      <c r="E35" s="74">
        <v>90</v>
      </c>
    </row>
    <row r="36" spans="1:7" ht="19.95" customHeight="1">
      <c r="A36" s="79"/>
      <c r="B36" s="77"/>
      <c r="C36" s="83" t="str">
        <f t="shared" si="5"/>
        <v/>
      </c>
      <c r="D36" s="94"/>
      <c r="E36" s="74">
        <v>90</v>
      </c>
    </row>
    <row r="37" spans="1:7" ht="19.95" customHeight="1">
      <c r="A37" s="76"/>
      <c r="B37" s="76"/>
      <c r="C37" s="83" t="str">
        <f t="shared" si="5"/>
        <v/>
      </c>
      <c r="D37" s="76"/>
      <c r="E37" s="76"/>
    </row>
    <row r="38" spans="1:7" ht="19.95" customHeight="1">
      <c r="A38" s="76"/>
      <c r="B38" s="76"/>
      <c r="C38" s="83" t="str">
        <f t="shared" si="5"/>
        <v/>
      </c>
      <c r="D38" s="76"/>
      <c r="E38" s="76"/>
    </row>
    <row r="39" spans="1:7" ht="19.95" customHeight="1" thickBot="1">
      <c r="A39" s="286" t="s">
        <v>17</v>
      </c>
      <c r="B39" s="287"/>
      <c r="C39" s="287"/>
      <c r="D39" s="287"/>
      <c r="G39" s="89" t="s">
        <v>135</v>
      </c>
    </row>
    <row r="40" spans="1:7" ht="19.95" customHeight="1" thickBot="1">
      <c r="A40" s="84" t="s">
        <v>128</v>
      </c>
      <c r="B40" s="85" t="s">
        <v>70</v>
      </c>
      <c r="C40" s="86" t="s">
        <v>134</v>
      </c>
      <c r="D40" s="86" t="s">
        <v>141</v>
      </c>
      <c r="E40" s="73" t="s">
        <v>129</v>
      </c>
      <c r="G40" s="90">
        <f>SMALL(Tableau6162432[BRUT],1)</f>
        <v>69</v>
      </c>
    </row>
    <row r="41" spans="1:7" ht="19.95" customHeight="1">
      <c r="A41" s="149" t="s">
        <v>28</v>
      </c>
      <c r="B41" s="152" t="s">
        <v>23</v>
      </c>
      <c r="C41" s="83" t="str">
        <f t="shared" si="5"/>
        <v>JacquesANAVOISARD</v>
      </c>
      <c r="D41" s="94" t="s">
        <v>139</v>
      </c>
      <c r="E41" s="73">
        <v>73</v>
      </c>
      <c r="G41" s="90">
        <f>SMALL(Tableau6162432[BRUT],2)</f>
        <v>71</v>
      </c>
    </row>
    <row r="42" spans="1:7" ht="19.95" customHeight="1">
      <c r="A42" s="149" t="s">
        <v>79</v>
      </c>
      <c r="B42" s="149" t="s">
        <v>50</v>
      </c>
      <c r="C42" s="83" t="str">
        <f t="shared" si="5"/>
        <v>MichelleCIBERT GOTHON</v>
      </c>
      <c r="D42" s="94" t="s">
        <v>140</v>
      </c>
      <c r="E42" s="73">
        <v>69</v>
      </c>
      <c r="G42" s="90">
        <f>SMALL(Tableau6162432[BRUT],3)</f>
        <v>73</v>
      </c>
    </row>
    <row r="43" spans="1:7" ht="19.95" customHeight="1">
      <c r="A43" s="149" t="s">
        <v>64</v>
      </c>
      <c r="B43" s="152" t="s">
        <v>165</v>
      </c>
      <c r="C43" s="83" t="str">
        <f t="shared" si="5"/>
        <v>Jean-MichelFAURIE</v>
      </c>
      <c r="D43" s="94" t="s">
        <v>139</v>
      </c>
      <c r="E43" s="73">
        <v>71</v>
      </c>
    </row>
    <row r="44" spans="1:7" ht="19.95" customHeight="1">
      <c r="A44" s="149" t="s">
        <v>66</v>
      </c>
      <c r="B44" s="152" t="s">
        <v>166</v>
      </c>
      <c r="C44" s="83" t="str">
        <f t="shared" si="5"/>
        <v>MickaëlGUEGUEN</v>
      </c>
      <c r="D44" s="94" t="s">
        <v>139</v>
      </c>
      <c r="E44" s="73">
        <v>74</v>
      </c>
    </row>
    <row r="45" spans="1:7" ht="19.95" customHeight="1">
      <c r="A45" s="149" t="s">
        <v>201</v>
      </c>
      <c r="B45" s="152" t="s">
        <v>33</v>
      </c>
      <c r="C45" s="83" t="str">
        <f t="shared" si="5"/>
        <v>SergeLAVEDIAU</v>
      </c>
      <c r="D45" s="94" t="s">
        <v>139</v>
      </c>
      <c r="E45" s="73">
        <v>73</v>
      </c>
    </row>
    <row r="46" spans="1:7" ht="19.95" customHeight="1">
      <c r="A46" s="149" t="s">
        <v>213</v>
      </c>
      <c r="B46" s="152" t="s">
        <v>40</v>
      </c>
      <c r="C46" s="83" t="str">
        <f t="shared" si="5"/>
        <v>PhilippeSAVOIE</v>
      </c>
      <c r="D46" s="94" t="s">
        <v>139</v>
      </c>
      <c r="E46" s="73">
        <v>76</v>
      </c>
    </row>
    <row r="47" spans="1:7" ht="19.95" customHeight="1">
      <c r="A47" s="76"/>
      <c r="B47" s="76"/>
      <c r="C47" s="83" t="str">
        <f t="shared" si="5"/>
        <v/>
      </c>
      <c r="D47" s="76"/>
      <c r="E47" s="76"/>
    </row>
    <row r="48" spans="1:7" ht="19.95" customHeight="1">
      <c r="A48" s="76"/>
      <c r="B48" s="76"/>
      <c r="C48" s="83" t="str">
        <f t="shared" si="5"/>
        <v/>
      </c>
      <c r="D48" s="76"/>
      <c r="E48" s="76"/>
    </row>
    <row r="49" spans="1:7" ht="19.95" customHeight="1" thickBot="1">
      <c r="A49" s="288" t="s">
        <v>8</v>
      </c>
      <c r="B49" s="289"/>
      <c r="C49" s="289"/>
      <c r="D49" s="289"/>
      <c r="G49" s="89" t="s">
        <v>135</v>
      </c>
    </row>
    <row r="50" spans="1:7" ht="19.95" customHeight="1" thickBot="1">
      <c r="A50" s="84" t="s">
        <v>128</v>
      </c>
      <c r="B50" s="85" t="s">
        <v>70</v>
      </c>
      <c r="C50" s="86" t="s">
        <v>134</v>
      </c>
      <c r="D50" s="86" t="s">
        <v>141</v>
      </c>
      <c r="E50" s="73" t="s">
        <v>129</v>
      </c>
      <c r="G50" s="90">
        <f>SMALL(Tableau7172533[BRUT],1)</f>
        <v>59</v>
      </c>
    </row>
    <row r="51" spans="1:7" ht="19.95" customHeight="1">
      <c r="A51" s="143" t="s">
        <v>20</v>
      </c>
      <c r="B51" s="144" t="s">
        <v>21</v>
      </c>
      <c r="C51" s="83" t="str">
        <f t="shared" si="5"/>
        <v>MarcGRAVELIN</v>
      </c>
      <c r="D51" s="94" t="s">
        <v>139</v>
      </c>
      <c r="E51" s="73">
        <v>72</v>
      </c>
      <c r="G51" s="90">
        <f>SMALL(Tableau7172533[BRUT],2)</f>
        <v>72</v>
      </c>
    </row>
    <row r="52" spans="1:7" ht="19.95" customHeight="1">
      <c r="A52" s="143" t="s">
        <v>91</v>
      </c>
      <c r="B52" s="144" t="s">
        <v>44</v>
      </c>
      <c r="C52" s="83" t="str">
        <f t="shared" si="5"/>
        <v>GillesJOSSIER</v>
      </c>
      <c r="D52" s="94" t="s">
        <v>139</v>
      </c>
      <c r="E52" s="73">
        <v>59</v>
      </c>
      <c r="G52" s="90">
        <f>SMALL(Tableau7172533[BRUT],3)</f>
        <v>77</v>
      </c>
    </row>
    <row r="53" spans="1:7" ht="19.95" customHeight="1">
      <c r="A53" s="143" t="s">
        <v>32</v>
      </c>
      <c r="B53" s="143" t="s">
        <v>47</v>
      </c>
      <c r="C53" s="83" t="str">
        <f t="shared" si="5"/>
        <v>HuguettePERRIER</v>
      </c>
      <c r="D53" s="94" t="s">
        <v>140</v>
      </c>
      <c r="E53" s="73">
        <v>81</v>
      </c>
    </row>
    <row r="54" spans="1:7" ht="19.95" customHeight="1">
      <c r="A54" s="143" t="s">
        <v>110</v>
      </c>
      <c r="B54" s="144" t="s">
        <v>33</v>
      </c>
      <c r="C54" s="138" t="str">
        <f>TRIM(CONCATENATE(B54,A54))</f>
        <v>SergeROBERT</v>
      </c>
      <c r="D54" s="94" t="s">
        <v>139</v>
      </c>
      <c r="E54" s="73">
        <v>77</v>
      </c>
    </row>
    <row r="55" spans="1:7" ht="19.95" customHeight="1">
      <c r="A55" s="76"/>
      <c r="B55" s="76"/>
      <c r="C55" s="83" t="str">
        <f t="shared" si="5"/>
        <v/>
      </c>
      <c r="D55" s="76"/>
      <c r="E55" s="81"/>
    </row>
    <row r="56" spans="1:7" ht="19.95" customHeight="1">
      <c r="A56" s="76"/>
      <c r="B56" s="76"/>
      <c r="C56" s="83" t="str">
        <f t="shared" si="5"/>
        <v/>
      </c>
      <c r="D56" s="76"/>
      <c r="E56" s="76"/>
    </row>
    <row r="57" spans="1:7" ht="19.95" customHeight="1" thickBot="1">
      <c r="A57" s="290" t="s">
        <v>63</v>
      </c>
      <c r="B57" s="291"/>
      <c r="C57" s="291"/>
      <c r="D57" s="291"/>
      <c r="G57" s="89" t="s">
        <v>135</v>
      </c>
    </row>
    <row r="58" spans="1:7" ht="19.95" customHeight="1" thickBot="1">
      <c r="A58" s="88" t="s">
        <v>128</v>
      </c>
      <c r="B58" s="85" t="s">
        <v>70</v>
      </c>
      <c r="C58" s="86" t="s">
        <v>134</v>
      </c>
      <c r="D58" s="86" t="s">
        <v>141</v>
      </c>
      <c r="E58" s="73" t="s">
        <v>129</v>
      </c>
      <c r="G58" s="90">
        <f>SMALL(Tableau8182634[BRUT],1)</f>
        <v>65</v>
      </c>
    </row>
    <row r="59" spans="1:7" ht="19.2" customHeight="1">
      <c r="A59" s="154" t="s">
        <v>97</v>
      </c>
      <c r="B59" s="155" t="s">
        <v>72</v>
      </c>
      <c r="C59" s="83" t="str">
        <f t="shared" si="5"/>
        <v>DidierBENAZECH</v>
      </c>
      <c r="D59" s="94" t="s">
        <v>139</v>
      </c>
      <c r="E59" s="73">
        <v>67</v>
      </c>
      <c r="G59" s="90">
        <f>SMALL(Tableau8182634[BRUT],2)</f>
        <v>67</v>
      </c>
    </row>
    <row r="60" spans="1:7" ht="19.2" customHeight="1">
      <c r="A60" s="154" t="s">
        <v>81</v>
      </c>
      <c r="B60" s="154" t="s">
        <v>82</v>
      </c>
      <c r="C60" s="83" t="str">
        <f t="shared" si="5"/>
        <v>MoniqueDOMY</v>
      </c>
      <c r="D60" s="94" t="s">
        <v>140</v>
      </c>
      <c r="E60" s="73">
        <v>71</v>
      </c>
      <c r="G60" s="90">
        <f>SMALL(Tableau8182634[BRUT],3)</f>
        <v>71</v>
      </c>
    </row>
    <row r="61" spans="1:7" ht="19.95" customHeight="1">
      <c r="A61" s="154" t="s">
        <v>25</v>
      </c>
      <c r="B61" s="155" t="s">
        <v>12</v>
      </c>
      <c r="C61" s="83" t="str">
        <f t="shared" si="5"/>
        <v>MichelLABAUNE</v>
      </c>
      <c r="D61" s="94" t="s">
        <v>139</v>
      </c>
      <c r="E61" s="73">
        <v>77</v>
      </c>
    </row>
    <row r="62" spans="1:7" ht="19.95" customHeight="1">
      <c r="A62" s="154" t="s">
        <v>202</v>
      </c>
      <c r="B62" s="155" t="s">
        <v>203</v>
      </c>
      <c r="C62" s="83" t="str">
        <f t="shared" si="5"/>
        <v>Pierre JeanRAYNIERE</v>
      </c>
      <c r="D62" s="94" t="s">
        <v>139</v>
      </c>
      <c r="E62" s="73">
        <v>75</v>
      </c>
    </row>
    <row r="63" spans="1:7" ht="19.95" customHeight="1">
      <c r="A63" s="154" t="s">
        <v>34</v>
      </c>
      <c r="B63" s="155" t="s">
        <v>22</v>
      </c>
      <c r="C63" s="83" t="str">
        <f t="shared" si="5"/>
        <v>Jean LouisRODDE</v>
      </c>
      <c r="D63" s="94" t="s">
        <v>139</v>
      </c>
      <c r="E63" s="73">
        <v>65</v>
      </c>
      <c r="F63" s="94"/>
    </row>
    <row r="64" spans="1:7" ht="19.95" customHeight="1">
      <c r="A64" s="94"/>
      <c r="B64" s="94"/>
      <c r="C64" s="94"/>
      <c r="D64" s="94"/>
      <c r="E64" s="94"/>
    </row>
    <row r="65" spans="1:7" ht="19.95" customHeight="1">
      <c r="A65" s="76"/>
      <c r="B65" s="76"/>
      <c r="C65" s="83" t="str">
        <f t="shared" si="5"/>
        <v/>
      </c>
      <c r="D65" s="76"/>
      <c r="E65" s="76"/>
    </row>
    <row r="66" spans="1:7" ht="19.95" customHeight="1">
      <c r="A66" s="76"/>
      <c r="B66" s="76"/>
      <c r="C66" s="83" t="str">
        <f t="shared" si="5"/>
        <v/>
      </c>
      <c r="D66" s="76"/>
      <c r="E66" s="76"/>
    </row>
    <row r="67" spans="1:7" ht="19.95" customHeight="1" thickBot="1">
      <c r="A67" s="278" t="s">
        <v>24</v>
      </c>
      <c r="B67" s="279"/>
      <c r="C67" s="279"/>
      <c r="D67" s="279"/>
      <c r="G67" s="89" t="s">
        <v>135</v>
      </c>
    </row>
    <row r="68" spans="1:7" ht="20.399999999999999" thickBot="1">
      <c r="A68" s="84" t="s">
        <v>128</v>
      </c>
      <c r="B68" s="85" t="s">
        <v>70</v>
      </c>
      <c r="C68" s="86" t="s">
        <v>134</v>
      </c>
      <c r="D68" s="86" t="s">
        <v>141</v>
      </c>
      <c r="E68" s="73" t="s">
        <v>129</v>
      </c>
      <c r="G68" s="90">
        <f>SMALL(Tableau9192735[BRUT],1)</f>
        <v>73</v>
      </c>
    </row>
    <row r="69" spans="1:7" ht="18.600000000000001">
      <c r="A69" s="148" t="s">
        <v>102</v>
      </c>
      <c r="B69" s="148" t="s">
        <v>55</v>
      </c>
      <c r="C69" s="83" t="str">
        <f t="shared" si="5"/>
        <v>MartineMOUTH</v>
      </c>
      <c r="D69" s="94" t="s">
        <v>140</v>
      </c>
      <c r="E69" s="73">
        <v>85</v>
      </c>
      <c r="G69" s="90">
        <f>SMALL(Tableau9192735[BRUT],2)</f>
        <v>80</v>
      </c>
    </row>
    <row r="70" spans="1:7" ht="18.600000000000001">
      <c r="A70" s="148" t="s">
        <v>96</v>
      </c>
      <c r="B70" s="148" t="s">
        <v>49</v>
      </c>
      <c r="C70" s="83" t="str">
        <f t="shared" si="5"/>
        <v>SylvieRUSZNIEWSKI</v>
      </c>
      <c r="D70" s="94" t="s">
        <v>140</v>
      </c>
      <c r="E70" s="73">
        <v>73</v>
      </c>
      <c r="G70" s="90">
        <f>SMALL(Tableau9192735[BRUT],3)</f>
        <v>85</v>
      </c>
    </row>
    <row r="71" spans="1:7" ht="18.600000000000001">
      <c r="A71" s="148" t="s">
        <v>214</v>
      </c>
      <c r="B71" s="148" t="s">
        <v>95</v>
      </c>
      <c r="C71" s="83" t="str">
        <f t="shared" si="5"/>
        <v>OdileRAY</v>
      </c>
      <c r="D71" s="94" t="s">
        <v>140</v>
      </c>
      <c r="E71" s="73">
        <v>80</v>
      </c>
    </row>
  </sheetData>
  <mergeCells count="12">
    <mergeCell ref="A67:D67"/>
    <mergeCell ref="A1:I1"/>
    <mergeCell ref="A3:D3"/>
    <mergeCell ref="J5:K5"/>
    <mergeCell ref="J10:K10"/>
    <mergeCell ref="A15:D15"/>
    <mergeCell ref="J16:K16"/>
    <mergeCell ref="J19:K19"/>
    <mergeCell ref="A31:D31"/>
    <mergeCell ref="A39:D39"/>
    <mergeCell ref="A49:D49"/>
    <mergeCell ref="A57:D57"/>
  </mergeCells>
  <dataValidations count="2">
    <dataValidation type="list" allowBlank="1" showInputMessage="1" showErrorMessage="1" sqref="A41:B46 J20" xr:uid="{00000000-0002-0000-0500-000000000000}">
      <formula1>NOM</formula1>
    </dataValidation>
    <dataValidation type="list" allowBlank="1" showInputMessage="1" showErrorMessage="1" sqref="J17" xr:uid="{00000000-0002-0000-0500-000001000000}">
      <formula1>NOMBIS</formula1>
    </dataValidation>
  </dataValidations>
  <pageMargins left="0.7" right="0.7" top="0.75" bottom="0.75" header="0.3" footer="0.3"/>
  <pageSetup paperSize="9"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U86"/>
  <sheetViews>
    <sheetView workbookViewId="0">
      <selection activeCell="A8" sqref="A8:B8"/>
    </sheetView>
  </sheetViews>
  <sheetFormatPr baseColWidth="10" defaultRowHeight="13.2"/>
  <cols>
    <col min="1" max="1" width="30.109375" bestFit="1" customWidth="1"/>
    <col min="2" max="2" width="19.109375" customWidth="1"/>
    <col min="3" max="3" width="13.109375" hidden="1" customWidth="1"/>
    <col min="4" max="4" width="4.6640625" customWidth="1"/>
    <col min="5" max="5" width="8.44140625" customWidth="1"/>
    <col min="6" max="6" width="8.6640625" customWidth="1"/>
    <col min="7" max="7" width="14.33203125" bestFit="1" customWidth="1"/>
    <col min="8" max="8" width="3" customWidth="1"/>
    <col min="9" max="9" width="3.6640625" customWidth="1"/>
    <col min="10" max="10" width="21.109375" customWidth="1"/>
    <col min="11" max="11" width="18" customWidth="1"/>
    <col min="12" max="12" width="15.33203125" customWidth="1"/>
    <col min="13" max="13" width="13" bestFit="1" customWidth="1"/>
    <col min="14" max="14" width="11" customWidth="1"/>
    <col min="15" max="15" width="12.77734375" hidden="1" customWidth="1"/>
    <col min="16" max="16" width="8.109375" hidden="1" customWidth="1"/>
    <col min="17" max="17" width="6.77734375" hidden="1" customWidth="1"/>
    <col min="18" max="18" width="4.77734375" customWidth="1"/>
    <col min="19" max="19" width="30.44140625" bestFit="1" customWidth="1"/>
    <col min="20" max="20" width="9.44140625" bestFit="1" customWidth="1"/>
    <col min="21" max="21" width="13" bestFit="1" customWidth="1"/>
  </cols>
  <sheetData>
    <row r="1" spans="1:21" ht="67.8" customHeight="1" thickBot="1">
      <c r="A1" s="271" t="s">
        <v>227</v>
      </c>
      <c r="B1" s="272"/>
      <c r="C1" s="272"/>
      <c r="D1" s="272"/>
      <c r="E1" s="272"/>
      <c r="F1" s="272"/>
      <c r="G1" s="272"/>
      <c r="H1" s="272"/>
      <c r="I1" s="273"/>
    </row>
    <row r="3" spans="1:21" ht="19.2" thickBot="1">
      <c r="A3" s="280" t="s">
        <v>11</v>
      </c>
      <c r="B3" s="281"/>
      <c r="C3" s="281"/>
      <c r="D3" s="281"/>
    </row>
    <row r="4" spans="1:21" ht="19.95" customHeight="1" thickBot="1">
      <c r="A4" s="84" t="s">
        <v>128</v>
      </c>
      <c r="B4" s="85" t="s">
        <v>70</v>
      </c>
      <c r="C4" s="86" t="s">
        <v>134</v>
      </c>
      <c r="D4" s="86" t="s">
        <v>141</v>
      </c>
      <c r="E4" s="229" t="s">
        <v>129</v>
      </c>
      <c r="G4" s="89" t="s">
        <v>135</v>
      </c>
    </row>
    <row r="5" spans="1:21" ht="19.95" customHeight="1">
      <c r="A5" s="235" t="s">
        <v>198</v>
      </c>
      <c r="B5" s="235" t="s">
        <v>67</v>
      </c>
      <c r="C5" s="233" t="str">
        <f>TRIM(CONCATENATE(B5,A5))</f>
        <v>ElisabethBRIDIER</v>
      </c>
      <c r="D5" s="94" t="s">
        <v>140</v>
      </c>
      <c r="E5" s="229">
        <v>68</v>
      </c>
      <c r="G5" s="90">
        <f>SMALL(Tableau313212937[BRUT],1)</f>
        <v>53</v>
      </c>
      <c r="J5" s="274" t="s">
        <v>136</v>
      </c>
      <c r="K5" s="275"/>
      <c r="L5" s="114" t="s">
        <v>137</v>
      </c>
      <c r="M5" s="92" t="s">
        <v>138</v>
      </c>
    </row>
    <row r="6" spans="1:21" ht="19.95" customHeight="1">
      <c r="A6" s="235" t="s">
        <v>9</v>
      </c>
      <c r="B6" s="216" t="s">
        <v>10</v>
      </c>
      <c r="C6" s="233" t="str">
        <f t="shared" ref="C6:C11" si="0">TRIM(CONCATENATE(B6,A6))</f>
        <v>AlainJEANDREAU</v>
      </c>
      <c r="D6" s="94" t="s">
        <v>139</v>
      </c>
      <c r="E6" s="229">
        <v>62</v>
      </c>
      <c r="G6" s="90">
        <f>SMALL(Tableau313212937[BRUT],2)</f>
        <v>57</v>
      </c>
      <c r="J6" s="96" t="str">
        <f t="array" ref="J6">IFERROR(INDEX(A$5:A$109, MATCH(1, (D$5:D$109="F")*(E$5:E$109=L6)*(COUNTIF(J$5:J5,A$5:A$109)=0), 0)),"")</f>
        <v>MEYNIAL</v>
      </c>
      <c r="K6" s="96" t="str">
        <f t="array" ref="K6">IFERROR(INDEX(B$5:B$109, MATCH(1, (D$5:D$109="F")*(E$5:E$109=L6)*(COUNTIF(L$5:L5,E$5:E$109)=0), 0)),"")</f>
        <v>Elisabeth</v>
      </c>
      <c r="L6" s="115">
        <f t="array" ref="L6">IFERROR(SMALL(IF(D$6:D$109="F",E$6:E$109), ROW(A1)),"")</f>
        <v>66</v>
      </c>
      <c r="M6" s="93">
        <v>1</v>
      </c>
      <c r="O6" s="109" t="s">
        <v>147</v>
      </c>
      <c r="P6" s="110" t="s">
        <v>148</v>
      </c>
      <c r="Q6" s="111" t="s">
        <v>138</v>
      </c>
      <c r="S6" s="105" t="s">
        <v>147</v>
      </c>
      <c r="T6" s="117" t="s">
        <v>148</v>
      </c>
      <c r="U6" s="107" t="s">
        <v>138</v>
      </c>
    </row>
    <row r="7" spans="1:21" ht="19.95" customHeight="1">
      <c r="A7" s="235" t="s">
        <v>174</v>
      </c>
      <c r="B7" s="216" t="s">
        <v>131</v>
      </c>
      <c r="C7" s="233" t="str">
        <f t="shared" si="0"/>
        <v>RolandJULHIEN</v>
      </c>
      <c r="D7" s="94" t="s">
        <v>139</v>
      </c>
      <c r="E7" s="229">
        <v>57</v>
      </c>
      <c r="G7" s="90">
        <f>SMALL(Tableau313212937[BRUT],3)</f>
        <v>62</v>
      </c>
      <c r="J7" s="97" t="str">
        <f t="array" ref="J7">IFERROR(INDEX(A$6:A$109, MATCH(1, (D$6:D$109="F")*(E$6:E$109=L7)*(COUNTIF(J$5:J6,A$6:A$109)=0), 0)),"")</f>
        <v>JOFFRE</v>
      </c>
      <c r="K7" s="97" t="str">
        <f t="array" ref="K7">IFERROR(INDEX(B$6:B$109, MATCH(1, (D$6:D$109="F")*(E$6:E$109=L7)*(COUNTIF(K$5:K6,B$6:B$109)=0), 0)),"")</f>
        <v>Caroline</v>
      </c>
      <c r="L7" s="115">
        <f t="array" ref="L7">IFERROR(SMALL(IF((D$5:D$109="F")*(COUNTIF(L$5:L5,E$5:E$109)=0), E$5:E$109), ROW(A2)),"")</f>
        <v>68</v>
      </c>
      <c r="M7" s="93">
        <v>2</v>
      </c>
      <c r="O7" s="108" t="str">
        <f>A3</f>
        <v>RIOM</v>
      </c>
      <c r="P7" s="103">
        <f>SUM(G5:G7)</f>
        <v>172</v>
      </c>
      <c r="Q7" s="93">
        <f>RANK(P7, P$7:P$13, 1) + COUNTIF(P$7:P7, P7) - 1</f>
        <v>1</v>
      </c>
      <c r="S7" s="106" t="str">
        <f>INDEX(O$7:O$13, MATCH(ROW(A1), Q$7:Q$13, 0))</f>
        <v>RIOM</v>
      </c>
      <c r="T7" s="118">
        <f>INDEX(P$7:P$13, MATCH(ROW(A1), Q$7:Q$13, 0))</f>
        <v>172</v>
      </c>
      <c r="U7" s="93">
        <f>ROW(A1)</f>
        <v>1</v>
      </c>
    </row>
    <row r="8" spans="1:21" ht="19.95" customHeight="1">
      <c r="A8" s="235" t="s">
        <v>30</v>
      </c>
      <c r="B8" s="235" t="s">
        <v>159</v>
      </c>
      <c r="C8" s="228" t="str">
        <f>TRIM(CONCATENATE(B8,A8))</f>
        <v>JoëlleKUCHCIK</v>
      </c>
      <c r="D8" s="94" t="s">
        <v>140</v>
      </c>
      <c r="E8" s="229">
        <v>81</v>
      </c>
      <c r="O8" s="108" t="str">
        <f>A16</f>
        <v>GAZELEC CLERMONT</v>
      </c>
      <c r="P8" s="103">
        <f>SUM(G17:G19)</f>
        <v>192</v>
      </c>
      <c r="Q8" s="93">
        <f>RANK(P8, P$7:P$13, 1) + COUNTIF(P$7:P8, P8) - 1</f>
        <v>4</v>
      </c>
      <c r="S8" s="106" t="str">
        <f t="shared" ref="S8:S13" si="1">INDEX(O$7:O$13, MATCH(ROW(A2), Q$7:Q$13, 0))</f>
        <v>VAL D'AUZON</v>
      </c>
      <c r="T8" s="118">
        <f t="shared" ref="T8:T13" si="2">INDEX(P$7:P$13, MATCH(ROW(A2), Q$7:Q$13, 0))</f>
        <v>187</v>
      </c>
      <c r="U8" s="93">
        <f t="shared" ref="U8:U13" si="3">ROW(A2)</f>
        <v>2</v>
      </c>
    </row>
    <row r="9" spans="1:21" ht="19.95" customHeight="1">
      <c r="A9" s="235" t="s">
        <v>43</v>
      </c>
      <c r="B9" s="216" t="s">
        <v>37</v>
      </c>
      <c r="C9" s="228" t="str">
        <f>TRIM(CONCATENATE(B9,A9))</f>
        <v>JackyMACHAJ</v>
      </c>
      <c r="D9" s="94" t="s">
        <v>139</v>
      </c>
      <c r="E9" s="229">
        <v>65</v>
      </c>
      <c r="O9" s="108" t="str">
        <f>A32</f>
        <v>GAZELEC MOULINS/VICHY</v>
      </c>
      <c r="P9" s="103">
        <f>SUM(G33:G35)</f>
        <v>270</v>
      </c>
      <c r="Q9" s="93">
        <f>RANK(P9, P$7:P$13, 1) + COUNTIF(P$7:P9, P9) - 1</f>
        <v>6</v>
      </c>
      <c r="S9" s="106" t="str">
        <f t="shared" si="1"/>
        <v>CHARADE</v>
      </c>
      <c r="T9" s="118">
        <f t="shared" si="2"/>
        <v>188</v>
      </c>
      <c r="U9" s="93">
        <f t="shared" si="3"/>
        <v>3</v>
      </c>
    </row>
    <row r="10" spans="1:21" ht="19.95" customHeight="1">
      <c r="A10" s="235" t="s">
        <v>41</v>
      </c>
      <c r="B10" s="216" t="s">
        <v>42</v>
      </c>
      <c r="C10" s="233" t="str">
        <f t="shared" si="0"/>
        <v>ChristianMOULIN</v>
      </c>
      <c r="D10" s="94" t="s">
        <v>139</v>
      </c>
      <c r="E10" s="229">
        <v>53</v>
      </c>
      <c r="J10" s="274" t="s">
        <v>142</v>
      </c>
      <c r="K10" s="275"/>
      <c r="L10" s="114" t="s">
        <v>137</v>
      </c>
      <c r="M10" s="92" t="s">
        <v>138</v>
      </c>
      <c r="O10" s="108" t="str">
        <f>A40</f>
        <v>VAL D'AUZON</v>
      </c>
      <c r="P10" s="103">
        <f>SUM(G41:G43)</f>
        <v>187</v>
      </c>
      <c r="Q10" s="93">
        <f>RANK(P10, P$7:P$13, 1) + COUNTIF(P$7:P10, P10) - 1</f>
        <v>2</v>
      </c>
      <c r="S10" s="106" t="str">
        <f t="shared" si="1"/>
        <v>GAZELEC CLERMONT</v>
      </c>
      <c r="T10" s="118">
        <f t="shared" si="2"/>
        <v>192</v>
      </c>
      <c r="U10" s="93">
        <f t="shared" si="3"/>
        <v>4</v>
      </c>
    </row>
    <row r="11" spans="1:21" ht="19.95" customHeight="1">
      <c r="A11" s="235" t="s">
        <v>113</v>
      </c>
      <c r="B11" s="216" t="s">
        <v>37</v>
      </c>
      <c r="C11" s="233" t="str">
        <f t="shared" si="0"/>
        <v>JackyPEGEON</v>
      </c>
      <c r="D11" s="94" t="s">
        <v>139</v>
      </c>
      <c r="E11" s="229">
        <v>66</v>
      </c>
      <c r="J11" s="98" t="str">
        <f t="array" ref="J11">IFERROR(INDEX(A$5:A$109, MATCH(1, (D$5:D$109="M")*(E$5:E$109=L11)*(COUNTIF(J$10:J10,A$5:A$109)=0), 0)),"")</f>
        <v>MOULIN</v>
      </c>
      <c r="K11" s="98" t="str">
        <f t="array" ref="K11">IFERROR(INDEX(B$5:B$109, MATCH(1, (D$5:D$109="M")*(E$5:E$109=L11)*(COUNTIF(L$10:L10,E$5:E$109)=0), 0)),"")</f>
        <v>Christian</v>
      </c>
      <c r="L11" s="116">
        <f t="array" ref="L11">IFERROR(SMALL(IF(D$5:D$109="M",E$5:E$109), ROW(A1)),"")</f>
        <v>53</v>
      </c>
      <c r="M11" s="95">
        <v>1</v>
      </c>
      <c r="O11" s="108" t="str">
        <f>A56</f>
        <v>CHARADE</v>
      </c>
      <c r="P11" s="103">
        <f>SUM(G57:G59)</f>
        <v>188</v>
      </c>
      <c r="Q11" s="93">
        <f>RANK(P11, P$7:P$13, 1) + COUNTIF(P$7:P11, P11) - 1</f>
        <v>3</v>
      </c>
      <c r="S11" s="106" t="str">
        <f t="shared" si="1"/>
        <v>MAURIAC</v>
      </c>
      <c r="T11" s="118">
        <f t="shared" si="2"/>
        <v>207</v>
      </c>
      <c r="U11" s="93">
        <f t="shared" si="3"/>
        <v>5</v>
      </c>
    </row>
    <row r="12" spans="1:21" ht="19.95" customHeight="1">
      <c r="J12" s="98" t="str">
        <f t="array" ref="J12">IFERROR(INDEX(A$5:A$109, MATCH(1, (D$5:D$109="M")*(E$5:E$109=L12)*(COUNTIF(J$10:J11,A$5:A$109)=0), 0)),"")</f>
        <v>JULHIEN</v>
      </c>
      <c r="K12" s="98" t="str">
        <f t="array" ref="K12">IFERROR(INDEX(B$5:B$109, MATCH(1, (D$5:D$109="M")*(E$5:E$109=L12)*(COUNTIF(K$10:K11,B$5:B$109)=0), 0)),"")</f>
        <v>Roland</v>
      </c>
      <c r="L12" s="116">
        <f t="array" ref="L12">IFERROR(SMALL(IF(D$5:D$109="M",E$5:E$109), ROW(A2)),"")</f>
        <v>57</v>
      </c>
      <c r="M12" s="95">
        <v>2</v>
      </c>
      <c r="O12" s="108" t="str">
        <f>A69</f>
        <v>MAURIAC</v>
      </c>
      <c r="P12" s="103">
        <f>SUM(G70:G72)</f>
        <v>207</v>
      </c>
      <c r="Q12" s="93">
        <f>RANK(P12, P$7:P$13, 1) + COUNTIF(P$7:P12, P12) - 1</f>
        <v>5</v>
      </c>
      <c r="S12" s="106" t="str">
        <f t="shared" si="1"/>
        <v>GAZELEC MOULINS/VICHY</v>
      </c>
      <c r="T12" s="118">
        <f t="shared" si="2"/>
        <v>270</v>
      </c>
      <c r="U12" s="93">
        <f t="shared" si="3"/>
        <v>6</v>
      </c>
    </row>
    <row r="13" spans="1:21" ht="19.95" customHeight="1">
      <c r="J13" s="98" t="str">
        <f t="array" ref="J13">IFERROR(INDEX(A$5:A$109, MATCH(1, (D$5:D$109="M")*(E$5:E$109=L13)*(COUNTIF(J$10:J12,A$5:A$109)=0), 0)),"")</f>
        <v>FOURNIER</v>
      </c>
      <c r="K13" s="98" t="str">
        <f t="array" ref="K13">IFERROR(INDEX(B$6:B$109, MATCH(1, (D$6:D$109="M")*(E$6:E$109=L13)*(COUNTIF(K$10:K12,B$6:B$109)=0), 0)),"")</f>
        <v>Philippe</v>
      </c>
      <c r="L13" s="116">
        <f t="array" ref="L13">IFERROR(SMALL(IF(D$5:D$109="M",E$5:E$109), ROW(A3)),"")</f>
        <v>59</v>
      </c>
      <c r="M13" s="95">
        <v>3</v>
      </c>
      <c r="O13" s="112" t="str">
        <f>A77</f>
        <v>MONTPENSIER</v>
      </c>
      <c r="P13" s="113">
        <f>SUM(G78:G80)</f>
        <v>270</v>
      </c>
      <c r="Q13" s="93">
        <f>RANK(P13, P$7:P$13, 1) + COUNTIF(P$7:P13, P13) - 1</f>
        <v>7</v>
      </c>
      <c r="S13" s="106" t="str">
        <f t="shared" si="1"/>
        <v>MONTPENSIER</v>
      </c>
      <c r="T13" s="118">
        <f t="shared" si="2"/>
        <v>270</v>
      </c>
      <c r="U13" s="93">
        <f t="shared" si="3"/>
        <v>7</v>
      </c>
    </row>
    <row r="14" spans="1:21" ht="19.95" customHeight="1">
      <c r="A14" s="76"/>
      <c r="B14" s="76"/>
      <c r="C14" s="83" t="str">
        <f t="shared" ref="C14:C15" si="4">TRIM(CONCATENATE(B14,A14))</f>
        <v/>
      </c>
      <c r="D14" s="76"/>
      <c r="E14" s="76"/>
    </row>
    <row r="15" spans="1:21" ht="19.95" customHeight="1">
      <c r="A15" s="76"/>
      <c r="B15" s="76"/>
      <c r="C15" s="83" t="str">
        <f t="shared" si="4"/>
        <v/>
      </c>
      <c r="D15" s="76"/>
      <c r="E15" s="76"/>
    </row>
    <row r="16" spans="1:21" ht="19.95" customHeight="1">
      <c r="A16" s="282" t="s">
        <v>107</v>
      </c>
      <c r="B16" s="283"/>
      <c r="C16" s="283"/>
      <c r="D16" s="283"/>
      <c r="G16" s="89" t="s">
        <v>135</v>
      </c>
      <c r="J16" s="276" t="s">
        <v>143</v>
      </c>
      <c r="K16" s="277"/>
      <c r="L16" s="91" t="s">
        <v>144</v>
      </c>
      <c r="M16" s="99" t="s">
        <v>170</v>
      </c>
    </row>
    <row r="17" spans="1:13" ht="19.95" customHeight="1" thickBot="1">
      <c r="A17" s="84" t="s">
        <v>128</v>
      </c>
      <c r="B17" s="85" t="s">
        <v>70</v>
      </c>
      <c r="C17" s="86" t="s">
        <v>134</v>
      </c>
      <c r="D17" s="86" t="s">
        <v>141</v>
      </c>
      <c r="E17" s="73" t="s">
        <v>129</v>
      </c>
      <c r="G17" s="90">
        <f>SMALL(Tableau414223038[BRUT],1)</f>
        <v>61</v>
      </c>
      <c r="J17" s="96"/>
      <c r="K17" s="96"/>
      <c r="L17" s="100"/>
      <c r="M17" s="76"/>
    </row>
    <row r="18" spans="1:13" ht="19.95" customHeight="1">
      <c r="A18" s="217" t="s">
        <v>6</v>
      </c>
      <c r="B18" s="216" t="s">
        <v>7</v>
      </c>
      <c r="C18" s="83" t="str">
        <f t="shared" ref="C18:C81" si="5">TRIM(CONCATENATE(B18,A18))</f>
        <v>RobertBOURGIER</v>
      </c>
      <c r="D18" s="94" t="s">
        <v>139</v>
      </c>
      <c r="E18" s="229">
        <v>65</v>
      </c>
      <c r="G18" s="90">
        <f>SMALL(Tableau414223038[BRUT],2)</f>
        <v>65</v>
      </c>
      <c r="J18" s="101"/>
      <c r="K18" s="101"/>
      <c r="L18" s="101"/>
      <c r="M18" s="76"/>
    </row>
    <row r="19" spans="1:13" ht="19.95" customHeight="1">
      <c r="A19" s="217" t="s">
        <v>18</v>
      </c>
      <c r="B19" s="216" t="s">
        <v>169</v>
      </c>
      <c r="C19" s="83" t="str">
        <f t="shared" si="5"/>
        <v>Gérard CAMBET</v>
      </c>
      <c r="D19" s="94" t="s">
        <v>139</v>
      </c>
      <c r="E19" s="229">
        <v>61</v>
      </c>
      <c r="G19" s="90">
        <f>SMALL(Tableau414223038[BRUT],3)</f>
        <v>66</v>
      </c>
      <c r="J19" s="276" t="s">
        <v>146</v>
      </c>
      <c r="K19" s="277"/>
      <c r="L19" s="91" t="s">
        <v>144</v>
      </c>
      <c r="M19" s="102" t="s">
        <v>170</v>
      </c>
    </row>
    <row r="20" spans="1:13" ht="19.95" customHeight="1">
      <c r="A20" s="217" t="s">
        <v>89</v>
      </c>
      <c r="B20" s="216" t="s">
        <v>31</v>
      </c>
      <c r="C20" s="83" t="str">
        <f t="shared" si="5"/>
        <v>GeorgesFLORENCIO</v>
      </c>
      <c r="D20" s="94" t="s">
        <v>139</v>
      </c>
      <c r="E20" s="229">
        <v>66</v>
      </c>
      <c r="J20" s="98"/>
      <c r="K20" s="98"/>
      <c r="L20" s="103"/>
      <c r="M20" s="104"/>
    </row>
    <row r="21" spans="1:13" ht="19.95" customHeight="1">
      <c r="A21" s="217" t="s">
        <v>89</v>
      </c>
      <c r="B21" s="217" t="s">
        <v>90</v>
      </c>
      <c r="C21" s="83" t="str">
        <f t="shared" si="5"/>
        <v>JanineFLORENCIO</v>
      </c>
      <c r="D21" s="94" t="s">
        <v>140</v>
      </c>
      <c r="E21" s="229">
        <v>70</v>
      </c>
      <c r="J21" s="218"/>
      <c r="K21" s="218"/>
      <c r="L21" s="219"/>
      <c r="M21" s="104"/>
    </row>
    <row r="22" spans="1:13" ht="19.95" customHeight="1">
      <c r="A22" s="217" t="s">
        <v>124</v>
      </c>
      <c r="B22" s="216" t="s">
        <v>33</v>
      </c>
      <c r="C22" s="220" t="str">
        <f t="shared" ref="C22:C25" si="6">TRIM(CONCATENATE(B22,A22))</f>
        <v>SergeFONTANON</v>
      </c>
      <c r="D22" s="94" t="s">
        <v>139</v>
      </c>
      <c r="E22" s="229">
        <v>71</v>
      </c>
      <c r="J22" s="218"/>
      <c r="K22" s="218"/>
      <c r="L22" s="219"/>
      <c r="M22" s="104"/>
    </row>
    <row r="23" spans="1:13" ht="19.95" customHeight="1">
      <c r="A23" s="217" t="s">
        <v>111</v>
      </c>
      <c r="B23" s="217" t="s">
        <v>112</v>
      </c>
      <c r="C23" s="220" t="str">
        <f t="shared" si="6"/>
        <v>YaelGEIGER</v>
      </c>
      <c r="D23" s="94" t="s">
        <v>140</v>
      </c>
      <c r="E23" s="229">
        <v>83</v>
      </c>
      <c r="J23" s="218"/>
      <c r="K23" s="218"/>
      <c r="L23" s="219"/>
      <c r="M23" s="104"/>
    </row>
    <row r="24" spans="1:13" ht="19.95" customHeight="1">
      <c r="A24" s="217" t="s">
        <v>108</v>
      </c>
      <c r="B24" s="216" t="s">
        <v>109</v>
      </c>
      <c r="C24" s="220" t="str">
        <f t="shared" si="6"/>
        <v>PatriceMARGOTTIN</v>
      </c>
      <c r="D24" s="94" t="s">
        <v>139</v>
      </c>
      <c r="E24" s="229">
        <v>71</v>
      </c>
      <c r="J24" s="218"/>
      <c r="K24" s="218"/>
      <c r="L24" s="219"/>
      <c r="M24" s="104"/>
    </row>
    <row r="25" spans="1:13" ht="19.95" customHeight="1">
      <c r="A25" s="217" t="s">
        <v>150</v>
      </c>
      <c r="B25" s="216" t="s">
        <v>151</v>
      </c>
      <c r="C25" s="220" t="str">
        <f t="shared" si="6"/>
        <v>PascalJOFFRE</v>
      </c>
      <c r="D25" s="94" t="s">
        <v>139</v>
      </c>
      <c r="E25" s="229">
        <v>72</v>
      </c>
    </row>
    <row r="26" spans="1:13" ht="19.95" customHeight="1">
      <c r="A26" s="217" t="s">
        <v>150</v>
      </c>
      <c r="B26" s="217" t="s">
        <v>152</v>
      </c>
      <c r="C26" s="83" t="str">
        <f t="shared" si="5"/>
        <v>CarolineJOFFRE</v>
      </c>
      <c r="D26" s="94" t="s">
        <v>140</v>
      </c>
      <c r="E26" s="229">
        <v>68</v>
      </c>
    </row>
    <row r="27" spans="1:13" ht="19.95" customHeight="1">
      <c r="A27" s="217" t="s">
        <v>54</v>
      </c>
      <c r="B27" s="216" t="s">
        <v>12</v>
      </c>
      <c r="C27" s="83" t="str">
        <f t="shared" si="5"/>
        <v>MichelMANOUVRIER</v>
      </c>
      <c r="D27" s="94" t="s">
        <v>139</v>
      </c>
      <c r="E27" s="229">
        <v>72</v>
      </c>
    </row>
    <row r="28" spans="1:13" ht="19.95" customHeight="1">
      <c r="A28" s="217" t="s">
        <v>74</v>
      </c>
      <c r="B28" s="216" t="s">
        <v>44</v>
      </c>
      <c r="C28" s="83" t="str">
        <f t="shared" si="5"/>
        <v>GillesVESCOVI</v>
      </c>
      <c r="D28" s="94" t="s">
        <v>139</v>
      </c>
      <c r="E28" s="229">
        <v>69</v>
      </c>
    </row>
    <row r="29" spans="1:13" ht="19.95" customHeight="1">
      <c r="A29" s="217" t="s">
        <v>74</v>
      </c>
      <c r="B29" s="217" t="s">
        <v>78</v>
      </c>
      <c r="C29" s="83" t="str">
        <f t="shared" si="5"/>
        <v>RégineVESCOVI</v>
      </c>
      <c r="D29" s="94" t="s">
        <v>140</v>
      </c>
      <c r="E29" s="229">
        <v>77</v>
      </c>
    </row>
    <row r="30" spans="1:13" ht="19.95" customHeight="1">
      <c r="A30" s="76"/>
      <c r="B30" s="76"/>
      <c r="C30" s="83" t="str">
        <f t="shared" si="5"/>
        <v/>
      </c>
      <c r="D30" s="76"/>
      <c r="E30" s="76"/>
    </row>
    <row r="31" spans="1:13" ht="19.95" customHeight="1">
      <c r="A31" s="76"/>
      <c r="B31" s="76"/>
      <c r="C31" s="83" t="str">
        <f t="shared" si="5"/>
        <v/>
      </c>
      <c r="D31" s="76"/>
      <c r="E31" s="76"/>
    </row>
    <row r="32" spans="1:13" ht="19.95" customHeight="1">
      <c r="A32" s="284" t="s">
        <v>132</v>
      </c>
      <c r="B32" s="285"/>
      <c r="C32" s="285"/>
      <c r="D32" s="285"/>
      <c r="G32" s="89" t="s">
        <v>135</v>
      </c>
    </row>
    <row r="33" spans="1:7" ht="19.95" customHeight="1" thickBot="1">
      <c r="A33" s="84" t="s">
        <v>128</v>
      </c>
      <c r="B33" s="85" t="s">
        <v>70</v>
      </c>
      <c r="C33" s="86" t="s">
        <v>134</v>
      </c>
      <c r="D33" s="86" t="s">
        <v>141</v>
      </c>
      <c r="E33" s="73" t="s">
        <v>129</v>
      </c>
      <c r="G33" s="90">
        <f>SMALL(Tableau515233139[BRUT],1)</f>
        <v>90</v>
      </c>
    </row>
    <row r="34" spans="1:7" ht="19.95" customHeight="1">
      <c r="A34" s="77"/>
      <c r="B34" s="77"/>
      <c r="C34" s="83" t="str">
        <f t="shared" si="5"/>
        <v/>
      </c>
      <c r="D34" s="94"/>
      <c r="E34" s="78">
        <v>90</v>
      </c>
      <c r="G34" s="90">
        <f>SMALL(Tableau515233139[BRUT],2)</f>
        <v>90</v>
      </c>
    </row>
    <row r="35" spans="1:7" ht="19.95" customHeight="1">
      <c r="A35" s="77"/>
      <c r="B35" s="77"/>
      <c r="C35" s="83" t="str">
        <f t="shared" si="5"/>
        <v/>
      </c>
      <c r="D35" s="94"/>
      <c r="E35" s="74">
        <v>90</v>
      </c>
      <c r="G35" s="90">
        <f>SMALL(Tableau515233139[BRUT],3)</f>
        <v>90</v>
      </c>
    </row>
    <row r="36" spans="1:7" ht="19.95" customHeight="1">
      <c r="A36" s="79"/>
      <c r="B36" s="77"/>
      <c r="C36" s="83" t="str">
        <f t="shared" si="5"/>
        <v/>
      </c>
      <c r="D36" s="94"/>
      <c r="E36" s="74">
        <v>90</v>
      </c>
    </row>
    <row r="37" spans="1:7" ht="19.95" customHeight="1">
      <c r="A37" s="79"/>
      <c r="B37" s="77"/>
      <c r="C37" s="83" t="str">
        <f t="shared" si="5"/>
        <v/>
      </c>
      <c r="D37" s="94"/>
      <c r="E37" s="74">
        <v>90</v>
      </c>
    </row>
    <row r="38" spans="1:7" ht="19.95" customHeight="1">
      <c r="A38" s="76"/>
      <c r="B38" s="76"/>
      <c r="C38" s="83" t="str">
        <f t="shared" si="5"/>
        <v/>
      </c>
      <c r="D38" s="76"/>
      <c r="E38" s="76"/>
    </row>
    <row r="39" spans="1:7" ht="19.95" customHeight="1">
      <c r="A39" s="76"/>
      <c r="B39" s="76"/>
      <c r="C39" s="83" t="str">
        <f t="shared" si="5"/>
        <v/>
      </c>
      <c r="D39" s="76"/>
      <c r="E39" s="76"/>
    </row>
    <row r="40" spans="1:7" ht="19.95" customHeight="1" thickBot="1">
      <c r="A40" s="286" t="s">
        <v>17</v>
      </c>
      <c r="B40" s="287"/>
      <c r="C40" s="287"/>
      <c r="D40" s="287"/>
      <c r="G40" s="89" t="s">
        <v>135</v>
      </c>
    </row>
    <row r="41" spans="1:7" ht="19.95" customHeight="1" thickBot="1">
      <c r="A41" s="84" t="s">
        <v>128</v>
      </c>
      <c r="B41" s="85" t="s">
        <v>70</v>
      </c>
      <c r="C41" s="86" t="s">
        <v>134</v>
      </c>
      <c r="D41" s="86" t="s">
        <v>141</v>
      </c>
      <c r="E41" s="73" t="s">
        <v>129</v>
      </c>
      <c r="G41" s="90">
        <f>SMALL(Tableau616243240[BRUT],1)</f>
        <v>59</v>
      </c>
    </row>
    <row r="42" spans="1:7" ht="19.95" customHeight="1">
      <c r="A42" s="152" t="s">
        <v>28</v>
      </c>
      <c r="B42" s="152" t="s">
        <v>23</v>
      </c>
      <c r="C42" s="83" t="str">
        <f t="shared" si="5"/>
        <v>JacquesANAVOISARD</v>
      </c>
      <c r="D42" s="94" t="s">
        <v>139</v>
      </c>
      <c r="E42" s="229">
        <v>68</v>
      </c>
      <c r="G42" s="90">
        <f>SMALL(Tableau616243240[BRUT],2)</f>
        <v>64</v>
      </c>
    </row>
    <row r="43" spans="1:7" ht="19.95" customHeight="1">
      <c r="A43" s="152" t="s">
        <v>114</v>
      </c>
      <c r="B43" s="152" t="s">
        <v>7</v>
      </c>
      <c r="C43" s="83" t="str">
        <f t="shared" si="5"/>
        <v>RobertBRUNEL</v>
      </c>
      <c r="D43" s="94" t="s">
        <v>139</v>
      </c>
      <c r="E43" s="229">
        <v>64</v>
      </c>
      <c r="G43" s="90">
        <f>SMALL(Tableau616243240[BRUT],3)</f>
        <v>64</v>
      </c>
    </row>
    <row r="44" spans="1:7" ht="19.95" customHeight="1">
      <c r="A44" s="152" t="s">
        <v>79</v>
      </c>
      <c r="B44" s="152" t="s">
        <v>50</v>
      </c>
      <c r="C44" s="83" t="str">
        <f t="shared" si="5"/>
        <v>MichelleCIBERT GOTHON</v>
      </c>
      <c r="D44" s="94" t="s">
        <v>140</v>
      </c>
      <c r="E44" s="229">
        <v>76</v>
      </c>
      <c r="G44" s="126"/>
    </row>
    <row r="45" spans="1:7" ht="19.95" customHeight="1">
      <c r="A45" s="152" t="s">
        <v>58</v>
      </c>
      <c r="B45" s="152" t="s">
        <v>40</v>
      </c>
      <c r="C45" s="220" t="str">
        <f t="shared" ref="C45:C49" si="7">TRIM(CONCATENATE(B45,A45))</f>
        <v>PhilippeCUVIER</v>
      </c>
      <c r="D45" s="94" t="s">
        <v>139</v>
      </c>
      <c r="E45" s="229">
        <v>64</v>
      </c>
      <c r="G45" s="126"/>
    </row>
    <row r="46" spans="1:7" ht="19.95" customHeight="1">
      <c r="A46" s="152" t="s">
        <v>64</v>
      </c>
      <c r="B46" s="152" t="s">
        <v>165</v>
      </c>
      <c r="C46" s="220" t="str">
        <f t="shared" si="7"/>
        <v>Jean-MichelFAURIE</v>
      </c>
      <c r="D46" s="94" t="s">
        <v>139</v>
      </c>
      <c r="E46" s="229">
        <v>75</v>
      </c>
      <c r="G46" s="126"/>
    </row>
    <row r="47" spans="1:7" ht="19.95" customHeight="1">
      <c r="A47" s="152" t="s">
        <v>190</v>
      </c>
      <c r="B47" s="152" t="s">
        <v>105</v>
      </c>
      <c r="C47" s="220" t="str">
        <f t="shared" si="7"/>
        <v>BrunoFLEURY</v>
      </c>
      <c r="D47" s="94" t="s">
        <v>139</v>
      </c>
      <c r="E47" s="229">
        <v>71</v>
      </c>
      <c r="G47" s="126"/>
    </row>
    <row r="48" spans="1:7" ht="19.95" customHeight="1">
      <c r="A48" s="152" t="s">
        <v>204</v>
      </c>
      <c r="B48" s="152" t="s">
        <v>40</v>
      </c>
      <c r="C48" s="220" t="str">
        <f t="shared" si="7"/>
        <v>PhilippeFOURNIER</v>
      </c>
      <c r="D48" s="94" t="s">
        <v>139</v>
      </c>
      <c r="E48" s="229">
        <v>59</v>
      </c>
      <c r="G48" s="126"/>
    </row>
    <row r="49" spans="1:7" ht="19.95" customHeight="1">
      <c r="A49" s="152" t="s">
        <v>80</v>
      </c>
      <c r="B49" s="152" t="s">
        <v>68</v>
      </c>
      <c r="C49" s="220" t="str">
        <f t="shared" si="7"/>
        <v>Jean PierreMOUTREUX</v>
      </c>
      <c r="D49" s="94" t="s">
        <v>139</v>
      </c>
      <c r="E49" s="229">
        <v>70</v>
      </c>
    </row>
    <row r="50" spans="1:7" ht="19.95" customHeight="1">
      <c r="A50" s="152" t="s">
        <v>65</v>
      </c>
      <c r="B50" s="152" t="s">
        <v>27</v>
      </c>
      <c r="C50" s="83" t="str">
        <f t="shared" si="5"/>
        <v>DanielPIERROT</v>
      </c>
      <c r="D50" s="94" t="s">
        <v>139</v>
      </c>
      <c r="E50" s="229">
        <v>69</v>
      </c>
    </row>
    <row r="51" spans="1:7" ht="19.95" customHeight="1">
      <c r="A51" s="152" t="s">
        <v>213</v>
      </c>
      <c r="B51" s="152" t="s">
        <v>40</v>
      </c>
      <c r="C51" s="83" t="str">
        <f t="shared" si="5"/>
        <v>PhilippeSAVOIE</v>
      </c>
      <c r="D51" s="94" t="s">
        <v>139</v>
      </c>
      <c r="E51" s="229">
        <v>79</v>
      </c>
    </row>
    <row r="52" spans="1:7" ht="19.95" customHeight="1">
      <c r="A52" s="152" t="s">
        <v>103</v>
      </c>
      <c r="B52" s="152" t="s">
        <v>104</v>
      </c>
      <c r="C52" s="83" t="str">
        <f t="shared" si="5"/>
        <v>ChristopheSOU AH Y</v>
      </c>
      <c r="D52" s="94" t="s">
        <v>139</v>
      </c>
      <c r="E52" s="229">
        <v>67</v>
      </c>
    </row>
    <row r="53" spans="1:7" ht="19.95" customHeight="1">
      <c r="A53" s="152" t="s">
        <v>26</v>
      </c>
      <c r="B53" s="152" t="s">
        <v>27</v>
      </c>
      <c r="C53" s="83" t="str">
        <f t="shared" si="5"/>
        <v>DanielVEDEL</v>
      </c>
      <c r="D53" s="94" t="s">
        <v>139</v>
      </c>
      <c r="E53" s="229">
        <v>66</v>
      </c>
    </row>
    <row r="54" spans="1:7" ht="19.95" customHeight="1">
      <c r="A54" s="76"/>
      <c r="B54" s="76"/>
      <c r="C54" s="83" t="str">
        <f t="shared" si="5"/>
        <v/>
      </c>
      <c r="D54" s="76"/>
      <c r="E54" s="76"/>
    </row>
    <row r="55" spans="1:7" ht="19.95" customHeight="1">
      <c r="A55" s="76"/>
      <c r="B55" s="76"/>
      <c r="C55" s="83" t="str">
        <f t="shared" si="5"/>
        <v/>
      </c>
      <c r="D55" s="76"/>
      <c r="E55" s="76"/>
    </row>
    <row r="56" spans="1:7" ht="19.95" customHeight="1" thickBot="1">
      <c r="A56" s="288" t="s">
        <v>8</v>
      </c>
      <c r="B56" s="289"/>
      <c r="C56" s="289"/>
      <c r="D56" s="289"/>
      <c r="G56" s="89" t="s">
        <v>135</v>
      </c>
    </row>
    <row r="57" spans="1:7" ht="19.95" customHeight="1" thickBot="1">
      <c r="A57" s="84" t="s">
        <v>128</v>
      </c>
      <c r="B57" s="85" t="s">
        <v>70</v>
      </c>
      <c r="C57" s="86" t="s">
        <v>134</v>
      </c>
      <c r="D57" s="86" t="s">
        <v>141</v>
      </c>
      <c r="E57" s="73" t="s">
        <v>129</v>
      </c>
      <c r="G57" s="90">
        <f>SMALL(Tableau717253341[BRUT],1)</f>
        <v>61</v>
      </c>
    </row>
    <row r="58" spans="1:7" ht="19.95" customHeight="1">
      <c r="A58" s="144" t="s">
        <v>172</v>
      </c>
      <c r="B58" s="144" t="s">
        <v>173</v>
      </c>
      <c r="C58" s="83" t="str">
        <f t="shared" ref="C58:C66" si="8">TRIM(CONCATENATE(B58,A58))</f>
        <v>RogerGOUGAT</v>
      </c>
      <c r="D58" s="94" t="s">
        <v>139</v>
      </c>
      <c r="E58" s="229">
        <v>78</v>
      </c>
      <c r="G58" s="90">
        <f>SMALL(Tableau717253341[BRUT],2)</f>
        <v>63</v>
      </c>
    </row>
    <row r="59" spans="1:7" ht="19.95" customHeight="1">
      <c r="A59" s="144" t="s">
        <v>20</v>
      </c>
      <c r="B59" s="144" t="s">
        <v>21</v>
      </c>
      <c r="C59" s="138" t="str">
        <f t="shared" si="8"/>
        <v>MarcGRAVELIN</v>
      </c>
      <c r="D59" s="94" t="s">
        <v>139</v>
      </c>
      <c r="E59" s="229">
        <v>69</v>
      </c>
      <c r="G59" s="90">
        <f>SMALL(Tableau717253341[BRUT],3)</f>
        <v>64</v>
      </c>
    </row>
    <row r="60" spans="1:7" ht="19.95" customHeight="1">
      <c r="A60" s="144" t="s">
        <v>91</v>
      </c>
      <c r="B60" s="144" t="s">
        <v>44</v>
      </c>
      <c r="C60" s="138" t="str">
        <f t="shared" si="8"/>
        <v>GillesJOSSIER</v>
      </c>
      <c r="D60" s="94" t="s">
        <v>139</v>
      </c>
      <c r="E60" s="229">
        <v>64</v>
      </c>
      <c r="G60" s="126"/>
    </row>
    <row r="61" spans="1:7" ht="19.95" customHeight="1">
      <c r="A61" s="144" t="s">
        <v>13</v>
      </c>
      <c r="B61" s="144" t="s">
        <v>116</v>
      </c>
      <c r="C61" s="220" t="str">
        <f t="shared" ref="C61:C63" si="9">TRIM(CONCATENATE(B61,A61))</f>
        <v>ChristianeLOUBAT</v>
      </c>
      <c r="D61" s="94" t="s">
        <v>140</v>
      </c>
      <c r="E61" s="229">
        <v>85</v>
      </c>
      <c r="G61" s="126"/>
    </row>
    <row r="62" spans="1:7" ht="19.95" customHeight="1">
      <c r="A62" s="144" t="s">
        <v>13</v>
      </c>
      <c r="B62" s="144" t="s">
        <v>14</v>
      </c>
      <c r="C62" s="220" t="str">
        <f t="shared" si="9"/>
        <v>JeanLOUBAT</v>
      </c>
      <c r="D62" s="94" t="s">
        <v>139</v>
      </c>
      <c r="E62" s="229">
        <v>63</v>
      </c>
      <c r="G62" s="126"/>
    </row>
    <row r="63" spans="1:7" ht="19.95" customHeight="1">
      <c r="A63" s="144" t="s">
        <v>73</v>
      </c>
      <c r="B63" s="144" t="s">
        <v>67</v>
      </c>
      <c r="C63" s="220" t="str">
        <f t="shared" si="9"/>
        <v>ElisabethMEYNIAL</v>
      </c>
      <c r="D63" s="94" t="s">
        <v>140</v>
      </c>
      <c r="E63" s="229">
        <v>66</v>
      </c>
    </row>
    <row r="64" spans="1:7" ht="19.95" customHeight="1">
      <c r="A64" s="144" t="s">
        <v>32</v>
      </c>
      <c r="B64" s="144" t="s">
        <v>47</v>
      </c>
      <c r="C64" s="138" t="str">
        <f t="shared" si="8"/>
        <v>HuguettePERRIER</v>
      </c>
      <c r="D64" s="94" t="s">
        <v>140</v>
      </c>
      <c r="E64" s="229">
        <v>80</v>
      </c>
    </row>
    <row r="65" spans="1:7" ht="19.95" customHeight="1">
      <c r="A65" s="144" t="s">
        <v>32</v>
      </c>
      <c r="B65" s="144" t="s">
        <v>33</v>
      </c>
      <c r="C65" s="138" t="str">
        <f t="shared" si="8"/>
        <v>SergePERRIER</v>
      </c>
      <c r="D65" s="94" t="s">
        <v>139</v>
      </c>
      <c r="E65" s="229">
        <v>61</v>
      </c>
    </row>
    <row r="66" spans="1:7" ht="19.95" customHeight="1">
      <c r="A66" s="144" t="s">
        <v>110</v>
      </c>
      <c r="B66" s="144" t="s">
        <v>33</v>
      </c>
      <c r="C66" s="138" t="str">
        <f t="shared" si="8"/>
        <v>SergeROBERT</v>
      </c>
      <c r="D66" s="94" t="s">
        <v>139</v>
      </c>
      <c r="E66" s="229">
        <v>66</v>
      </c>
    </row>
    <row r="67" spans="1:7" ht="19.95" customHeight="1">
      <c r="A67" s="76"/>
      <c r="B67" s="76"/>
      <c r="C67" s="83" t="str">
        <f t="shared" si="5"/>
        <v/>
      </c>
      <c r="D67" s="76"/>
      <c r="E67" s="81"/>
    </row>
    <row r="68" spans="1:7" ht="19.95" customHeight="1">
      <c r="A68" s="76"/>
      <c r="B68" s="76"/>
      <c r="C68" s="83" t="str">
        <f t="shared" si="5"/>
        <v/>
      </c>
      <c r="D68" s="76"/>
      <c r="E68" s="76"/>
    </row>
    <row r="69" spans="1:7" ht="19.95" customHeight="1" thickBot="1">
      <c r="A69" s="290" t="s">
        <v>63</v>
      </c>
      <c r="B69" s="291"/>
      <c r="C69" s="291"/>
      <c r="D69" s="291"/>
      <c r="G69" s="89" t="s">
        <v>135</v>
      </c>
    </row>
    <row r="70" spans="1:7" ht="19.95" customHeight="1" thickBot="1">
      <c r="A70" s="88" t="s">
        <v>128</v>
      </c>
      <c r="B70" s="85" t="s">
        <v>70</v>
      </c>
      <c r="C70" s="86" t="s">
        <v>134</v>
      </c>
      <c r="D70" s="86" t="s">
        <v>141</v>
      </c>
      <c r="E70" s="73" t="s">
        <v>129</v>
      </c>
      <c r="G70" s="90">
        <f>SMALL(Tableau818263442[BRUT],1)</f>
        <v>65</v>
      </c>
    </row>
    <row r="71" spans="1:7" ht="19.95" customHeight="1">
      <c r="A71" s="155" t="s">
        <v>25</v>
      </c>
      <c r="B71" s="155" t="s">
        <v>12</v>
      </c>
      <c r="C71" s="83" t="str">
        <f t="shared" si="5"/>
        <v>MichelLABAUNE</v>
      </c>
      <c r="D71" s="94" t="s">
        <v>139</v>
      </c>
      <c r="E71" s="229">
        <v>69</v>
      </c>
      <c r="G71" s="90">
        <f>SMALL(Tableau818263442[BRUT],2)</f>
        <v>69</v>
      </c>
    </row>
    <row r="72" spans="1:7" ht="19.2" customHeight="1">
      <c r="A72" s="155" t="s">
        <v>51</v>
      </c>
      <c r="B72" s="155" t="s">
        <v>52</v>
      </c>
      <c r="C72" s="138" t="str">
        <f t="shared" ref="C72:C73" si="10">TRIM(CONCATENATE(B72,A72))</f>
        <v>Marie HélèneMONCHAUX</v>
      </c>
      <c r="D72" s="94" t="s">
        <v>140</v>
      </c>
      <c r="E72" s="229">
        <v>78</v>
      </c>
      <c r="G72" s="90">
        <f>SMALL(Tableau818263442[BRUT],3)</f>
        <v>73</v>
      </c>
    </row>
    <row r="73" spans="1:7" ht="19.2" customHeight="1">
      <c r="A73" s="155" t="s">
        <v>202</v>
      </c>
      <c r="B73" s="155" t="s">
        <v>203</v>
      </c>
      <c r="C73" s="138" t="str">
        <f t="shared" si="10"/>
        <v>Pierre JeanRAYNIERE</v>
      </c>
      <c r="D73" s="94" t="s">
        <v>139</v>
      </c>
      <c r="E73" s="229">
        <v>65</v>
      </c>
    </row>
    <row r="74" spans="1:7" ht="19.95" customHeight="1">
      <c r="A74" s="155" t="s">
        <v>62</v>
      </c>
      <c r="B74" s="155" t="s">
        <v>55</v>
      </c>
      <c r="C74" s="83" t="str">
        <f t="shared" si="5"/>
        <v>MartineVACHOT</v>
      </c>
      <c r="D74" s="94" t="s">
        <v>140</v>
      </c>
      <c r="E74" s="229">
        <v>73</v>
      </c>
    </row>
    <row r="75" spans="1:7" ht="19.95" customHeight="1">
      <c r="A75" s="76"/>
      <c r="B75" s="76"/>
      <c r="C75" s="83" t="str">
        <f t="shared" si="5"/>
        <v/>
      </c>
      <c r="D75" s="76"/>
      <c r="E75" s="76"/>
    </row>
    <row r="76" spans="1:7" ht="19.95" customHeight="1">
      <c r="A76" s="76"/>
      <c r="B76" s="76"/>
      <c r="C76" s="83" t="str">
        <f t="shared" si="5"/>
        <v/>
      </c>
      <c r="D76" s="76"/>
      <c r="E76" s="76"/>
    </row>
    <row r="77" spans="1:7" ht="19.95" customHeight="1" thickBot="1">
      <c r="A77" s="278" t="s">
        <v>24</v>
      </c>
      <c r="B77" s="279"/>
      <c r="C77" s="279"/>
      <c r="D77" s="279"/>
      <c r="G77" s="89" t="s">
        <v>135</v>
      </c>
    </row>
    <row r="78" spans="1:7" ht="19.95" customHeight="1" thickBot="1">
      <c r="A78" s="84" t="s">
        <v>128</v>
      </c>
      <c r="B78" s="85" t="s">
        <v>70</v>
      </c>
      <c r="C78" s="86" t="s">
        <v>134</v>
      </c>
      <c r="D78" s="86" t="s">
        <v>141</v>
      </c>
      <c r="E78" s="73" t="s">
        <v>129</v>
      </c>
      <c r="G78" s="90">
        <f>SMALL(Tableau919273543[BRUT],1)</f>
        <v>90</v>
      </c>
    </row>
    <row r="79" spans="1:7" ht="18.600000000000001">
      <c r="A79" s="221"/>
      <c r="B79" s="216"/>
      <c r="C79" s="83" t="str">
        <f t="shared" si="5"/>
        <v/>
      </c>
      <c r="D79" s="94" t="s">
        <v>140</v>
      </c>
      <c r="E79" s="73">
        <v>90</v>
      </c>
      <c r="G79" s="90">
        <f>SMALL(Tableau919273543[BRUT],2)</f>
        <v>90</v>
      </c>
    </row>
    <row r="80" spans="1:7" ht="18.600000000000001">
      <c r="A80" s="221"/>
      <c r="B80" s="221"/>
      <c r="C80" s="83" t="str">
        <f t="shared" si="5"/>
        <v/>
      </c>
      <c r="D80" s="94" t="s">
        <v>140</v>
      </c>
      <c r="E80" s="73">
        <v>90</v>
      </c>
      <c r="G80" s="90">
        <f>SMALL(Tableau919273543[BRUT],3)</f>
        <v>90</v>
      </c>
    </row>
    <row r="81" spans="1:5" ht="18.600000000000001">
      <c r="A81" s="221"/>
      <c r="B81" s="221"/>
      <c r="C81" s="83" t="str">
        <f t="shared" si="5"/>
        <v/>
      </c>
      <c r="D81" s="94" t="s">
        <v>140</v>
      </c>
      <c r="E81" s="73">
        <v>90</v>
      </c>
    </row>
    <row r="82" spans="1:5" ht="18.600000000000001">
      <c r="A82" s="221"/>
      <c r="B82" s="216"/>
      <c r="C82" s="220" t="str">
        <f t="shared" ref="C82:C86" si="11">TRIM(CONCATENATE(B82,A82))</f>
        <v/>
      </c>
      <c r="D82" s="94" t="s">
        <v>139</v>
      </c>
      <c r="E82" s="73">
        <v>90</v>
      </c>
    </row>
    <row r="83" spans="1:5" ht="18.600000000000001">
      <c r="A83" s="221"/>
      <c r="B83" s="216"/>
      <c r="C83" s="220" t="str">
        <f t="shared" si="11"/>
        <v/>
      </c>
      <c r="D83" s="94" t="s">
        <v>139</v>
      </c>
      <c r="E83" s="73">
        <v>90</v>
      </c>
    </row>
    <row r="84" spans="1:5" ht="18.600000000000001">
      <c r="A84" s="221"/>
      <c r="B84" s="221"/>
      <c r="C84" s="220" t="str">
        <f t="shared" si="11"/>
        <v/>
      </c>
      <c r="D84" s="94" t="s">
        <v>140</v>
      </c>
      <c r="E84" s="73">
        <v>90</v>
      </c>
    </row>
    <row r="85" spans="1:5" ht="18.600000000000001">
      <c r="A85" s="221"/>
      <c r="B85" s="216"/>
      <c r="C85" s="220" t="str">
        <f t="shared" si="11"/>
        <v/>
      </c>
      <c r="D85" s="94" t="s">
        <v>139</v>
      </c>
      <c r="E85" s="73">
        <v>90</v>
      </c>
    </row>
    <row r="86" spans="1:5" ht="18.600000000000001">
      <c r="A86" s="221"/>
      <c r="B86" s="221"/>
      <c r="C86" s="220" t="str">
        <f t="shared" si="11"/>
        <v/>
      </c>
      <c r="D86" s="94" t="s">
        <v>140</v>
      </c>
      <c r="E86" s="73">
        <v>90</v>
      </c>
    </row>
  </sheetData>
  <mergeCells count="12">
    <mergeCell ref="A77:D77"/>
    <mergeCell ref="A1:I1"/>
    <mergeCell ref="A3:D3"/>
    <mergeCell ref="J5:K5"/>
    <mergeCell ref="J10:K10"/>
    <mergeCell ref="A16:D16"/>
    <mergeCell ref="J16:K16"/>
    <mergeCell ref="J19:K19"/>
    <mergeCell ref="A32:D32"/>
    <mergeCell ref="A40:D40"/>
    <mergeCell ref="A56:D56"/>
    <mergeCell ref="A69:D69"/>
  </mergeCells>
  <dataValidations count="2">
    <dataValidation type="list" allowBlank="1" showInputMessage="1" showErrorMessage="1" sqref="A42:B53" xr:uid="{00000000-0002-0000-0600-000000000000}">
      <formula1>NOM</formula1>
    </dataValidation>
    <dataValidation type="list" allowBlank="1" showInputMessage="1" showErrorMessage="1" sqref="J17" xr:uid="{00000000-0002-0000-0600-000001000000}">
      <formula1>NOMBIS</formula1>
    </dataValidation>
  </dataValidations>
  <pageMargins left="0.7" right="0.7" top="0.75" bottom="0.75" header="0.3" footer="0.3"/>
  <pageSetup paperSize="9"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U97"/>
  <sheetViews>
    <sheetView workbookViewId="0">
      <selection activeCell="E91" sqref="E91"/>
    </sheetView>
  </sheetViews>
  <sheetFormatPr baseColWidth="10" defaultRowHeight="13.2"/>
  <cols>
    <col min="1" max="1" width="30.109375" bestFit="1" customWidth="1"/>
    <col min="2" max="2" width="19.109375" customWidth="1"/>
    <col min="3" max="3" width="13.109375" hidden="1" customWidth="1"/>
    <col min="4" max="4" width="4.6640625" customWidth="1"/>
    <col min="5" max="5" width="8.44140625" customWidth="1"/>
    <col min="6" max="6" width="8.6640625" customWidth="1"/>
    <col min="7" max="7" width="14.33203125" bestFit="1" customWidth="1"/>
    <col min="8" max="8" width="3" customWidth="1"/>
    <col min="9" max="9" width="3.6640625" customWidth="1"/>
    <col min="10" max="10" width="21.109375" customWidth="1"/>
    <col min="11" max="11" width="18" customWidth="1"/>
    <col min="12" max="12" width="15.33203125" customWidth="1"/>
    <col min="13" max="13" width="13" bestFit="1" customWidth="1"/>
    <col min="14" max="14" width="11" customWidth="1"/>
    <col min="15" max="15" width="12.77734375" hidden="1" customWidth="1"/>
    <col min="16" max="16" width="8.109375" hidden="1" customWidth="1"/>
    <col min="17" max="17" width="6.77734375" hidden="1" customWidth="1"/>
    <col min="18" max="18" width="4.77734375" customWidth="1"/>
    <col min="19" max="19" width="30.44140625" bestFit="1" customWidth="1"/>
    <col min="20" max="20" width="9.44140625" bestFit="1" customWidth="1"/>
    <col min="21" max="21" width="13" bestFit="1" customWidth="1"/>
  </cols>
  <sheetData>
    <row r="1" spans="1:21" ht="67.8" customHeight="1" thickBot="1">
      <c r="A1" s="271" t="s">
        <v>188</v>
      </c>
      <c r="B1" s="272"/>
      <c r="C1" s="272"/>
      <c r="D1" s="272"/>
      <c r="E1" s="272"/>
      <c r="F1" s="272"/>
      <c r="G1" s="272"/>
      <c r="H1" s="272"/>
      <c r="I1" s="273"/>
    </row>
    <row r="3" spans="1:21" ht="19.2" thickBot="1">
      <c r="A3" s="280" t="s">
        <v>11</v>
      </c>
      <c r="B3" s="281"/>
      <c r="C3" s="281"/>
      <c r="D3" s="281"/>
    </row>
    <row r="4" spans="1:21" ht="19.95" customHeight="1" thickBot="1">
      <c r="A4" s="84" t="s">
        <v>128</v>
      </c>
      <c r="B4" s="85" t="s">
        <v>70</v>
      </c>
      <c r="C4" s="86" t="s">
        <v>134</v>
      </c>
      <c r="D4" s="86" t="s">
        <v>141</v>
      </c>
      <c r="E4" s="73" t="s">
        <v>129</v>
      </c>
      <c r="G4" s="89" t="s">
        <v>135</v>
      </c>
    </row>
    <row r="5" spans="1:21" ht="19.95" customHeight="1">
      <c r="A5" s="225" t="s">
        <v>198</v>
      </c>
      <c r="B5" s="225" t="s">
        <v>67</v>
      </c>
      <c r="C5" s="83" t="str">
        <f>TRIM(CONCATENATE(B5,A5))</f>
        <v>ElisabethBRIDIER</v>
      </c>
      <c r="D5" s="94" t="s">
        <v>140</v>
      </c>
      <c r="E5" s="73">
        <v>69</v>
      </c>
      <c r="G5" s="90">
        <f>SMALL(Tableau31321293745[BRUT],1)</f>
        <v>56</v>
      </c>
      <c r="J5" s="274" t="s">
        <v>136</v>
      </c>
      <c r="K5" s="275"/>
      <c r="L5" s="114" t="s">
        <v>137</v>
      </c>
      <c r="M5" s="92" t="s">
        <v>138</v>
      </c>
    </row>
    <row r="6" spans="1:21" ht="19.95" customHeight="1">
      <c r="A6" s="225" t="s">
        <v>117</v>
      </c>
      <c r="B6" s="226" t="s">
        <v>88</v>
      </c>
      <c r="C6" s="138" t="str">
        <f t="shared" ref="C6:C9" si="0">TRIM(CONCATENATE(B6,A6))</f>
        <v>Jean ClaudeCLUZEL</v>
      </c>
      <c r="D6" s="94" t="s">
        <v>139</v>
      </c>
      <c r="E6" s="73">
        <v>66</v>
      </c>
      <c r="G6" s="90">
        <f>SMALL(Tableau31321293745[BRUT],2)</f>
        <v>61</v>
      </c>
      <c r="J6" s="96" t="str">
        <f t="array" ref="J6">IFERROR(INDEX(A$5:A$120, MATCH(1, (D$5:D$120="F")*(E$5:E$120=L6)*(COUNTIF(J$5:J5,A$5:A$120)=0), 0)),"")</f>
        <v>BRIDIER</v>
      </c>
      <c r="K6" s="96" t="str">
        <f t="array" ref="K6">IFERROR(INDEX(B$5:B$120, MATCH(1, (D$5:D$120="F")*(E$5:E$120=L6)*(COUNTIF(L$5:L5,E$5:E$120)=0), 0)),"")</f>
        <v>Elisabeth</v>
      </c>
      <c r="L6" s="115">
        <f t="array" ref="L6">IFERROR(SMALL(IF(D$13:D$120="F",E$13:E$120), ROW(A1)),"")</f>
        <v>69</v>
      </c>
      <c r="M6" s="93">
        <v>1</v>
      </c>
      <c r="O6" s="109" t="s">
        <v>147</v>
      </c>
      <c r="P6" s="110" t="s">
        <v>148</v>
      </c>
      <c r="Q6" s="111" t="s">
        <v>138</v>
      </c>
      <c r="S6" s="105" t="s">
        <v>147</v>
      </c>
      <c r="T6" s="117" t="s">
        <v>148</v>
      </c>
      <c r="U6" s="107" t="s">
        <v>138</v>
      </c>
    </row>
    <row r="7" spans="1:21" ht="19.95" customHeight="1">
      <c r="A7" s="225" t="s">
        <v>9</v>
      </c>
      <c r="B7" s="226" t="s">
        <v>10</v>
      </c>
      <c r="C7" s="138" t="str">
        <f>TRIM(CONCATENATE(B7,A7))</f>
        <v>AlainJEANDREAU</v>
      </c>
      <c r="D7" s="94" t="s">
        <v>139</v>
      </c>
      <c r="E7" s="73">
        <v>66</v>
      </c>
      <c r="G7" s="90">
        <f>SMALL(Tableau31321293745[BRUT],3)</f>
        <v>61</v>
      </c>
      <c r="J7" s="238" t="s">
        <v>79</v>
      </c>
      <c r="K7" s="238" t="s">
        <v>230</v>
      </c>
      <c r="L7" s="239">
        <v>69</v>
      </c>
      <c r="M7" s="93">
        <v>2</v>
      </c>
      <c r="O7" s="108" t="str">
        <f>A3</f>
        <v>RIOM</v>
      </c>
      <c r="P7" s="103">
        <f>SUM(G5:G7)</f>
        <v>178</v>
      </c>
      <c r="Q7" s="93">
        <f>RANK(P7, P$7:P$13, 1) + COUNTIF(P$7:P7, P7) - 1</f>
        <v>1</v>
      </c>
      <c r="S7" s="106" t="str">
        <f>INDEX(O$7:O$13, MATCH(ROW(A1), Q$7:Q$13, 0))</f>
        <v>RIOM</v>
      </c>
      <c r="T7" s="118">
        <f>INDEX(P$7:P$13, MATCH(ROW(A1), Q$7:Q$13, 0))</f>
        <v>178</v>
      </c>
      <c r="U7" s="93">
        <f>ROW(A1)</f>
        <v>1</v>
      </c>
    </row>
    <row r="8" spans="1:21" ht="19.95" customHeight="1">
      <c r="A8" s="225" t="s">
        <v>174</v>
      </c>
      <c r="B8" s="226" t="s">
        <v>131</v>
      </c>
      <c r="C8" s="138" t="str">
        <f t="shared" si="0"/>
        <v>RolandJULHIEN</v>
      </c>
      <c r="D8" s="94" t="s">
        <v>139</v>
      </c>
      <c r="E8" s="73">
        <v>66</v>
      </c>
      <c r="J8" s="96" t="str">
        <f t="array" ref="J8">IFERROR(INDEX(A$5:A$120, MATCH(1, (D$5:D$120="F")*(E$5:E$120=L8)*(COUNTIF(J$5:J6,A$5:A$120)=0), 0)),"")</f>
        <v>JOFFRE</v>
      </c>
      <c r="K8" s="96" t="str">
        <f t="array" ref="K8">IFERROR(INDEX(B$5:B$120, MATCH(1, (D$5:D$120="F")*(E$5:E$120=L8)*(COUNTIF(L$5:L6,E$5:E$120)=0), 0)),"")</f>
        <v>Caroline</v>
      </c>
      <c r="L8" s="115">
        <f t="array" ref="L8">IFERROR(SMALL(IF(D$13:D$120="F",E$13:E$120), ROW(A2)),"")</f>
        <v>70</v>
      </c>
      <c r="M8" s="93">
        <v>3</v>
      </c>
      <c r="O8" s="108" t="str">
        <f>A22</f>
        <v>GAZELEC CLERMONT</v>
      </c>
      <c r="P8" s="103">
        <f>SUM(G25:G27)</f>
        <v>205</v>
      </c>
      <c r="Q8" s="93">
        <f>RANK(P8, P$7:P$13, 1) + COUNTIF(P$7:P8, P8) - 1</f>
        <v>5</v>
      </c>
      <c r="S8" s="106" t="str">
        <f t="shared" ref="S8:S11" si="1">INDEX(O$7:O$13, MATCH(ROW(A2), Q$7:Q$13, 0))</f>
        <v>VAL D'AUZON</v>
      </c>
      <c r="T8" s="118">
        <f t="shared" ref="T8:T11" si="2">INDEX(P$7:P$13, MATCH(ROW(A2), Q$7:Q$13, 0))</f>
        <v>185</v>
      </c>
      <c r="U8" s="93">
        <f t="shared" ref="U8:U11" si="3">ROW(A2)</f>
        <v>2</v>
      </c>
    </row>
    <row r="9" spans="1:21" ht="19.95" customHeight="1">
      <c r="A9" s="225" t="s">
        <v>149</v>
      </c>
      <c r="B9" s="226" t="s">
        <v>88</v>
      </c>
      <c r="C9" s="138" t="str">
        <f t="shared" si="0"/>
        <v>Jean ClaudeLAPERNA</v>
      </c>
      <c r="D9" s="94" t="s">
        <v>139</v>
      </c>
      <c r="E9" s="73">
        <v>61</v>
      </c>
      <c r="O9" s="108" t="str">
        <f>A38</f>
        <v>GAZELEC MOULINS/VICHY</v>
      </c>
      <c r="P9" s="103">
        <f>SUM(G39:G41)</f>
        <v>270</v>
      </c>
      <c r="Q9" s="93">
        <f>RANK(P9, P$7:P$13, 1) + COUNTIF(P$7:P9, P9) - 1</f>
        <v>7</v>
      </c>
      <c r="S9" s="106" t="str">
        <f t="shared" si="1"/>
        <v>MONTPENSIER</v>
      </c>
      <c r="T9" s="118">
        <f t="shared" si="2"/>
        <v>190</v>
      </c>
      <c r="U9" s="93">
        <f t="shared" si="3"/>
        <v>3</v>
      </c>
    </row>
    <row r="10" spans="1:21" ht="19.95" customHeight="1">
      <c r="A10" s="225" t="s">
        <v>171</v>
      </c>
      <c r="B10" s="226" t="s">
        <v>33</v>
      </c>
      <c r="C10" s="138" t="str">
        <f t="shared" ref="C10:C13" si="4">TRIM(CONCATENATE(B10,A10))</f>
        <v>SergeMARCUCCI</v>
      </c>
      <c r="D10" s="94" t="s">
        <v>139</v>
      </c>
      <c r="E10" s="73">
        <v>56</v>
      </c>
      <c r="O10" s="108" t="str">
        <f>A46</f>
        <v>VAL D'AUZON</v>
      </c>
      <c r="P10" s="103">
        <f>SUM(G47:G49)</f>
        <v>185</v>
      </c>
      <c r="Q10" s="93">
        <f>RANK(P10, P$7:P$13, 1) + COUNTIF(P$7:P10, P10) - 1</f>
        <v>2</v>
      </c>
      <c r="S10" s="106" t="str">
        <f t="shared" si="1"/>
        <v>CHARADE</v>
      </c>
      <c r="T10" s="118">
        <f t="shared" si="2"/>
        <v>192</v>
      </c>
      <c r="U10" s="93">
        <f t="shared" si="3"/>
        <v>4</v>
      </c>
    </row>
    <row r="11" spans="1:21" ht="19.95" customHeight="1">
      <c r="A11" s="225" t="s">
        <v>41</v>
      </c>
      <c r="B11" s="226" t="s">
        <v>42</v>
      </c>
      <c r="C11" s="162" t="str">
        <f t="shared" si="4"/>
        <v>ChristianMOULIN</v>
      </c>
      <c r="D11" s="94" t="s">
        <v>139</v>
      </c>
      <c r="E11" s="73">
        <v>61</v>
      </c>
      <c r="J11" s="274" t="s">
        <v>142</v>
      </c>
      <c r="K11" s="275"/>
      <c r="L11" s="114" t="s">
        <v>137</v>
      </c>
      <c r="M11" s="92" t="s">
        <v>138</v>
      </c>
      <c r="O11" s="108" t="str">
        <f>A67</f>
        <v>CHARADE</v>
      </c>
      <c r="P11" s="103">
        <f>SUM(G68:G70)</f>
        <v>192</v>
      </c>
      <c r="Q11" s="93">
        <f>RANK(P11, P$7:P$13, 1) + COUNTIF(P$7:P11, P11) - 1</f>
        <v>4</v>
      </c>
      <c r="S11" s="106" t="str">
        <f t="shared" si="1"/>
        <v>GAZELEC CLERMONT</v>
      </c>
      <c r="T11" s="118">
        <f t="shared" si="2"/>
        <v>205</v>
      </c>
      <c r="U11" s="93">
        <f t="shared" si="3"/>
        <v>5</v>
      </c>
    </row>
    <row r="12" spans="1:21" ht="19.95" customHeight="1">
      <c r="A12" s="225" t="s">
        <v>45</v>
      </c>
      <c r="B12" s="225" t="s">
        <v>48</v>
      </c>
      <c r="C12" s="162" t="str">
        <f t="shared" si="4"/>
        <v>AnnieROSSI</v>
      </c>
      <c r="D12" s="94" t="s">
        <v>140</v>
      </c>
      <c r="E12" s="73">
        <v>83</v>
      </c>
      <c r="J12" s="98" t="str">
        <f t="array" ref="J12">IFERROR(INDEX(A$5:A$120, MATCH(1, (D$5:D$120="M")*(E$5:E$120=L12)*(COUNTIF(J$11:J11,A$5:A$120)=0), 0)),"")</f>
        <v>MARCUCCI</v>
      </c>
      <c r="K12" s="98" t="str">
        <f t="array" ref="K12">IFERROR(INDEX(B$5:B$120, MATCH(1, (D$5:D$120="M")*(E$5:E$120=L12)*(COUNTIF(L$11:L11,E$5:E$120)=0), 0)),"")</f>
        <v>Serge</v>
      </c>
      <c r="L12" s="116">
        <f t="array" ref="L12">IFERROR(SMALL(IF(D$5:D$120="M",E$5:E$120), ROW(A1)),"")</f>
        <v>56</v>
      </c>
      <c r="M12" s="95">
        <v>1</v>
      </c>
      <c r="O12" s="108" t="str">
        <f>A79</f>
        <v>MAURIAC</v>
      </c>
      <c r="P12" s="103">
        <f>SUM(G80:G82)</f>
        <v>207</v>
      </c>
      <c r="Q12" s="93">
        <f>RANK(P12, P$7:P$13, 1) + COUNTIF(P$7:P12, P12) - 1</f>
        <v>6</v>
      </c>
      <c r="S12" s="106" t="str">
        <f>INDEX(O$7:O$13, MATCH(ROW(A6), Q$7:Q$13, 0))</f>
        <v>MAURIAC</v>
      </c>
      <c r="T12" s="118">
        <f>INDEX(P$7:P$13, MATCH(ROW(A6), Q$7:Q$13, 0))</f>
        <v>207</v>
      </c>
      <c r="U12" s="93">
        <f>ROW(A6)</f>
        <v>6</v>
      </c>
    </row>
    <row r="13" spans="1:21" ht="19.95" customHeight="1">
      <c r="A13" s="225" t="s">
        <v>219</v>
      </c>
      <c r="B13" s="226" t="s">
        <v>29</v>
      </c>
      <c r="C13" s="162" t="str">
        <f t="shared" si="4"/>
        <v>DominiqueZANADA</v>
      </c>
      <c r="D13" s="94" t="s">
        <v>139</v>
      </c>
      <c r="E13" s="73">
        <v>67</v>
      </c>
      <c r="J13" s="98" t="str">
        <f t="array" ref="J13">IFERROR(INDEX(A$5:A$120, MATCH(1, (D$5:D$120="M")*(E$5:E$120=L13)*(COUNTIF(J$11:J12,A$5:A$120)=0), 0)),"")</f>
        <v>GAILLARD</v>
      </c>
      <c r="K13" s="98" t="str">
        <f t="array" ref="K13">IFERROR(INDEX(B$5:B$120, MATCH(1, (D$5:D$120="M")*(E$5:E$120=L13)*(COUNTIF(K$11:K12,B$5:B$120)=0), 0)),"")</f>
        <v>Hervé</v>
      </c>
      <c r="L13" s="116">
        <f t="array" ref="L13">IFERROR(SMALL(IF(D$5:D$120="M",E$5:E$120), ROW(A2)),"")</f>
        <v>57</v>
      </c>
      <c r="M13" s="95">
        <v>2</v>
      </c>
      <c r="O13" s="112" t="str">
        <f>A88</f>
        <v>MONTPENSIER</v>
      </c>
      <c r="P13" s="113">
        <f>SUM(G89:G91)</f>
        <v>190</v>
      </c>
      <c r="Q13" s="93">
        <f>RANK(P13, P$7:P$13, 1) + COUNTIF(P$7:P13, P13) - 1</f>
        <v>3</v>
      </c>
      <c r="S13" s="106" t="str">
        <f>INDEX(O$7:O$13, MATCH(ROW(A7), Q$7:Q$13, 0))</f>
        <v>GAZELEC MOULINS/VICHY</v>
      </c>
      <c r="T13" s="118" t="e">
        <f>INDEX(P$7:P$13, MATCH(ROW(A8), Q$7:Q$13, 0))</f>
        <v>#N/A</v>
      </c>
      <c r="U13" s="93">
        <f>ROW(A8)</f>
        <v>8</v>
      </c>
    </row>
    <row r="14" spans="1:21" ht="19.95" customHeight="1">
      <c r="D14" s="94"/>
      <c r="J14" s="98" t="str">
        <f t="array" ref="J14">IFERROR(INDEX(A$5:A$120, MATCH(1, (D$5:D$120="M")*(E$5:E$120=L14)*(COUNTIF(J$11:J13,A$5:A$120)=0), 0)),"")</f>
        <v>SOU AH Y</v>
      </c>
      <c r="K14" s="98" t="str">
        <f t="array" ref="K14">IFERROR(INDEX(B$13:B$120, MATCH(1, (D$13:D$120="M")*(E$13:E$120=L14)*(COUNTIF(K$11:K13,B$13:B$120)=0), 0)),"")</f>
        <v>Christophe</v>
      </c>
      <c r="L14" s="116">
        <f t="array" ref="L14">IFERROR(SMALL(IF(D$5:D$120="M",E$5:E$120), ROW(A3)),"")</f>
        <v>60</v>
      </c>
      <c r="M14" s="95">
        <v>3</v>
      </c>
    </row>
    <row r="15" spans="1:21" ht="19.95" customHeight="1">
      <c r="D15" s="94"/>
    </row>
    <row r="16" spans="1:21" ht="19.95" customHeight="1">
      <c r="D16" s="94"/>
    </row>
    <row r="17" spans="1:13" ht="19.95" customHeight="1">
      <c r="D17" s="94"/>
    </row>
    <row r="18" spans="1:13" ht="19.95" customHeight="1">
      <c r="D18" s="94"/>
      <c r="J18" s="276" t="s">
        <v>143</v>
      </c>
      <c r="K18" s="277"/>
      <c r="L18" s="91" t="s">
        <v>144</v>
      </c>
      <c r="M18" s="99" t="s">
        <v>226</v>
      </c>
    </row>
    <row r="19" spans="1:13" ht="19.95" customHeight="1">
      <c r="D19" s="94"/>
      <c r="J19" s="216" t="s">
        <v>224</v>
      </c>
      <c r="K19" s="216" t="s">
        <v>49</v>
      </c>
      <c r="L19" s="100" t="s">
        <v>228</v>
      </c>
      <c r="M19" s="76"/>
    </row>
    <row r="20" spans="1:13" ht="19.95" customHeight="1">
      <c r="A20" s="76"/>
      <c r="B20" s="76"/>
      <c r="C20" s="83" t="str">
        <f t="shared" ref="C20:C21" si="5">TRIM(CONCATENATE(B20,A20))</f>
        <v/>
      </c>
      <c r="D20" s="76"/>
      <c r="E20" s="76"/>
      <c r="J20" s="101"/>
      <c r="K20" s="101"/>
      <c r="L20" s="101"/>
      <c r="M20" s="76"/>
    </row>
    <row r="21" spans="1:13" ht="19.95" customHeight="1">
      <c r="A21" s="76"/>
      <c r="B21" s="76"/>
      <c r="C21" s="83" t="str">
        <f t="shared" si="5"/>
        <v/>
      </c>
      <c r="D21" s="76"/>
      <c r="E21" s="76"/>
      <c r="J21" s="276" t="s">
        <v>146</v>
      </c>
      <c r="K21" s="277"/>
      <c r="L21" s="91" t="s">
        <v>144</v>
      </c>
      <c r="M21" s="102" t="s">
        <v>226</v>
      </c>
    </row>
    <row r="22" spans="1:13" ht="19.95" customHeight="1">
      <c r="A22" s="282" t="s">
        <v>107</v>
      </c>
      <c r="B22" s="283"/>
      <c r="C22" s="283"/>
      <c r="D22" s="283"/>
      <c r="J22" s="237" t="s">
        <v>103</v>
      </c>
      <c r="K22" s="236" t="s">
        <v>104</v>
      </c>
      <c r="L22" s="103" t="s">
        <v>229</v>
      </c>
      <c r="M22" s="104"/>
    </row>
    <row r="23" spans="1:13" ht="19.95" customHeight="1" thickBot="1">
      <c r="A23" s="84" t="s">
        <v>128</v>
      </c>
      <c r="B23" s="85" t="s">
        <v>70</v>
      </c>
      <c r="C23" s="86" t="s">
        <v>134</v>
      </c>
      <c r="D23" s="86" t="s">
        <v>141</v>
      </c>
      <c r="E23" s="73" t="s">
        <v>129</v>
      </c>
    </row>
    <row r="24" spans="1:13" ht="19.95" customHeight="1">
      <c r="A24" s="217" t="s">
        <v>18</v>
      </c>
      <c r="B24" s="216" t="s">
        <v>169</v>
      </c>
      <c r="C24" s="83" t="str">
        <f t="shared" ref="C24:C94" si="6">TRIM(CONCATENATE(B24,A24))</f>
        <v>Gérard CAMBET</v>
      </c>
      <c r="D24" s="94" t="s">
        <v>139</v>
      </c>
      <c r="E24" s="73">
        <v>70</v>
      </c>
      <c r="G24" s="89" t="s">
        <v>135</v>
      </c>
    </row>
    <row r="25" spans="1:13" ht="19.95" customHeight="1">
      <c r="A25" s="217" t="s">
        <v>89</v>
      </c>
      <c r="B25" s="217" t="s">
        <v>90</v>
      </c>
      <c r="C25" s="138" t="str">
        <f t="shared" ref="C25:C32" si="7">TRIM(CONCATENATE(B25,A25))</f>
        <v>JanineFLORENCIO</v>
      </c>
      <c r="D25" s="94" t="s">
        <v>140</v>
      </c>
      <c r="E25" s="73">
        <v>78</v>
      </c>
      <c r="G25" s="90">
        <f>SMALL(Tableau41422303846[BRUT],1)</f>
        <v>67</v>
      </c>
    </row>
    <row r="26" spans="1:13" ht="19.95" customHeight="1">
      <c r="A26" s="217" t="s">
        <v>124</v>
      </c>
      <c r="B26" s="216" t="s">
        <v>33</v>
      </c>
      <c r="C26" s="138" t="str">
        <f>TRIM(CONCATENATE(B26,A26))</f>
        <v>SergeFONTANON</v>
      </c>
      <c r="D26" s="94" t="s">
        <v>139</v>
      </c>
      <c r="E26" s="73">
        <v>71</v>
      </c>
      <c r="G26" s="90">
        <f>SMALL(Tableau41422303846[BRUT],2)</f>
        <v>68</v>
      </c>
    </row>
    <row r="27" spans="1:13" ht="19.95" customHeight="1">
      <c r="A27" s="217" t="s">
        <v>77</v>
      </c>
      <c r="B27" s="216" t="s">
        <v>44</v>
      </c>
      <c r="C27" s="138" t="str">
        <f t="shared" si="7"/>
        <v>GillesFROMAGE</v>
      </c>
      <c r="D27" s="94" t="s">
        <v>139</v>
      </c>
      <c r="E27" s="73">
        <v>85</v>
      </c>
      <c r="G27" s="90">
        <f>SMALL(Tableau41422303846[BRUT],3)</f>
        <v>70</v>
      </c>
    </row>
    <row r="28" spans="1:13" ht="19.95" customHeight="1">
      <c r="A28" s="217" t="s">
        <v>15</v>
      </c>
      <c r="B28" s="216" t="s">
        <v>16</v>
      </c>
      <c r="C28" s="138" t="str">
        <f t="shared" si="7"/>
        <v>Jean MarcHESEL</v>
      </c>
      <c r="D28" s="94" t="s">
        <v>139</v>
      </c>
      <c r="E28" s="73">
        <v>67</v>
      </c>
    </row>
    <row r="29" spans="1:13" ht="19.95" customHeight="1">
      <c r="A29" s="217" t="s">
        <v>150</v>
      </c>
      <c r="B29" s="216" t="s">
        <v>151</v>
      </c>
      <c r="C29" s="138" t="str">
        <f t="shared" si="7"/>
        <v>PascalJOFFRE</v>
      </c>
      <c r="D29" s="94" t="s">
        <v>139</v>
      </c>
      <c r="E29" s="73">
        <v>68</v>
      </c>
    </row>
    <row r="30" spans="1:13" ht="19.95" customHeight="1">
      <c r="A30" s="217" t="s">
        <v>150</v>
      </c>
      <c r="B30" s="217" t="s">
        <v>152</v>
      </c>
      <c r="C30" s="138" t="str">
        <f t="shared" si="7"/>
        <v>CarolineJOFFRE</v>
      </c>
      <c r="D30" s="94" t="s">
        <v>140</v>
      </c>
      <c r="E30" s="73">
        <v>70</v>
      </c>
    </row>
    <row r="31" spans="1:13" ht="19.95" customHeight="1">
      <c r="A31" s="217" t="s">
        <v>54</v>
      </c>
      <c r="B31" s="216" t="s">
        <v>12</v>
      </c>
      <c r="C31" s="138" t="str">
        <f t="shared" si="7"/>
        <v>MichelMANOUVRIER</v>
      </c>
      <c r="D31" s="94" t="s">
        <v>139</v>
      </c>
      <c r="E31" s="73">
        <v>77</v>
      </c>
    </row>
    <row r="32" spans="1:13" ht="19.95" customHeight="1">
      <c r="A32" s="217" t="s">
        <v>163</v>
      </c>
      <c r="B32" s="217" t="s">
        <v>164</v>
      </c>
      <c r="C32" s="138" t="str">
        <f t="shared" si="7"/>
        <v>NicoleMAZUEL</v>
      </c>
      <c r="D32" s="94" t="s">
        <v>140</v>
      </c>
      <c r="E32" s="73">
        <v>85</v>
      </c>
    </row>
    <row r="33" spans="1:7" ht="19.95" customHeight="1">
      <c r="A33" s="217" t="s">
        <v>74</v>
      </c>
      <c r="B33" s="216" t="s">
        <v>44</v>
      </c>
      <c r="C33" s="83" t="str">
        <f t="shared" si="6"/>
        <v>GillesVESCOVI</v>
      </c>
      <c r="D33" s="94" t="s">
        <v>139</v>
      </c>
      <c r="E33" s="73">
        <v>71</v>
      </c>
    </row>
    <row r="34" spans="1:7" ht="19.95" customHeight="1">
      <c r="A34" s="217" t="s">
        <v>74</v>
      </c>
      <c r="B34" s="217" t="s">
        <v>78</v>
      </c>
      <c r="C34" s="83" t="str">
        <f t="shared" si="6"/>
        <v>RégineVESCOVI</v>
      </c>
      <c r="D34" s="94" t="s">
        <v>140</v>
      </c>
      <c r="E34" s="73">
        <v>73</v>
      </c>
    </row>
    <row r="35" spans="1:7" ht="19.95" customHeight="1">
      <c r="A35" s="76"/>
      <c r="B35" s="76"/>
      <c r="C35" s="83" t="str">
        <f t="shared" si="6"/>
        <v/>
      </c>
      <c r="D35" s="76"/>
      <c r="E35" s="76"/>
    </row>
    <row r="36" spans="1:7" ht="19.95" customHeight="1">
      <c r="A36" s="76"/>
      <c r="B36" s="76"/>
      <c r="C36" s="218"/>
      <c r="D36" s="76"/>
      <c r="E36" s="76"/>
    </row>
    <row r="37" spans="1:7" ht="19.95" customHeight="1">
      <c r="A37" s="76"/>
      <c r="B37" s="76"/>
      <c r="C37" s="218"/>
      <c r="D37" s="76"/>
      <c r="E37" s="76"/>
    </row>
    <row r="38" spans="1:7" ht="19.95" customHeight="1">
      <c r="A38" s="284" t="s">
        <v>132</v>
      </c>
      <c r="B38" s="285"/>
      <c r="C38" s="285"/>
      <c r="D38" s="285"/>
      <c r="G38" s="89" t="s">
        <v>135</v>
      </c>
    </row>
    <row r="39" spans="1:7" ht="19.95" customHeight="1" thickBot="1">
      <c r="A39" s="84" t="s">
        <v>128</v>
      </c>
      <c r="B39" s="85" t="s">
        <v>70</v>
      </c>
      <c r="C39" s="86" t="s">
        <v>134</v>
      </c>
      <c r="D39" s="86" t="s">
        <v>141</v>
      </c>
      <c r="E39" s="73" t="s">
        <v>129</v>
      </c>
      <c r="G39" s="90">
        <f>SMALL(Tableau51523313947[BRUT],1)</f>
        <v>90</v>
      </c>
    </row>
    <row r="40" spans="1:7" ht="19.95" customHeight="1">
      <c r="A40" s="77"/>
      <c r="B40" s="77"/>
      <c r="C40" s="83" t="str">
        <f t="shared" si="6"/>
        <v/>
      </c>
      <c r="D40" s="94"/>
      <c r="E40" s="78">
        <v>90</v>
      </c>
      <c r="G40" s="90">
        <f>SMALL(Tableau51523313947[BRUT],2)</f>
        <v>90</v>
      </c>
    </row>
    <row r="41" spans="1:7" ht="19.95" customHeight="1">
      <c r="A41" s="77"/>
      <c r="B41" s="77"/>
      <c r="C41" s="83" t="str">
        <f t="shared" si="6"/>
        <v/>
      </c>
      <c r="D41" s="94"/>
      <c r="E41" s="74">
        <v>90</v>
      </c>
      <c r="G41" s="90">
        <f>SMALL(Tableau51523313947[BRUT],3)</f>
        <v>90</v>
      </c>
    </row>
    <row r="42" spans="1:7" ht="19.95" customHeight="1">
      <c r="A42" s="79"/>
      <c r="B42" s="77"/>
      <c r="C42" s="83" t="str">
        <f t="shared" si="6"/>
        <v/>
      </c>
      <c r="D42" s="94"/>
      <c r="E42" s="74">
        <v>90</v>
      </c>
    </row>
    <row r="43" spans="1:7" ht="19.95" customHeight="1">
      <c r="A43" s="79"/>
      <c r="B43" s="77"/>
      <c r="C43" s="83" t="str">
        <f t="shared" si="6"/>
        <v/>
      </c>
      <c r="D43" s="94"/>
      <c r="E43" s="74">
        <v>90</v>
      </c>
    </row>
    <row r="44" spans="1:7" ht="19.95" customHeight="1">
      <c r="A44" s="76"/>
      <c r="B44" s="76"/>
      <c r="C44" s="83" t="str">
        <f t="shared" si="6"/>
        <v/>
      </c>
      <c r="D44" s="76"/>
      <c r="E44" s="76"/>
    </row>
    <row r="45" spans="1:7" ht="19.95" customHeight="1">
      <c r="A45" s="76"/>
      <c r="B45" s="76"/>
      <c r="C45" s="83" t="str">
        <f t="shared" si="6"/>
        <v/>
      </c>
      <c r="D45" s="76"/>
      <c r="E45" s="76"/>
    </row>
    <row r="46" spans="1:7" ht="19.95" customHeight="1" thickBot="1">
      <c r="A46" s="286" t="s">
        <v>17</v>
      </c>
      <c r="B46" s="287"/>
      <c r="C46" s="287"/>
      <c r="D46" s="287"/>
      <c r="G46" s="89" t="s">
        <v>135</v>
      </c>
    </row>
    <row r="47" spans="1:7" ht="19.95" customHeight="1" thickBot="1">
      <c r="A47" s="84" t="s">
        <v>128</v>
      </c>
      <c r="B47" s="85" t="s">
        <v>70</v>
      </c>
      <c r="C47" s="86" t="s">
        <v>134</v>
      </c>
      <c r="D47" s="86" t="s">
        <v>141</v>
      </c>
      <c r="E47" s="73" t="s">
        <v>129</v>
      </c>
      <c r="G47" s="90">
        <f>SMALL(Tableau61624324048[BRUT],1)</f>
        <v>60</v>
      </c>
    </row>
    <row r="48" spans="1:7" ht="19.95" customHeight="1">
      <c r="A48" s="227" t="s">
        <v>28</v>
      </c>
      <c r="B48" s="230" t="s">
        <v>23</v>
      </c>
      <c r="C48" s="83" t="str">
        <f t="shared" si="6"/>
        <v>JacquesANAVOISARD</v>
      </c>
      <c r="D48" s="94" t="s">
        <v>139</v>
      </c>
      <c r="E48" s="73">
        <v>70</v>
      </c>
      <c r="G48" s="90">
        <f>SMALL(Tableau61624324048[BRUT],2)</f>
        <v>62</v>
      </c>
    </row>
    <row r="49" spans="1:7" ht="19.95" customHeight="1">
      <c r="A49" s="227" t="s">
        <v>100</v>
      </c>
      <c r="B49" s="230" t="s">
        <v>101</v>
      </c>
      <c r="C49" s="83" t="str">
        <f t="shared" ref="C49:C64" si="8">TRIM(CONCATENATE(B49,A49))</f>
        <v>Jean LucBABUT</v>
      </c>
      <c r="D49" s="94" t="s">
        <v>139</v>
      </c>
      <c r="E49" s="73">
        <v>76</v>
      </c>
      <c r="G49" s="90">
        <f>SMALL(Tableau61624324048[BRUT],3)</f>
        <v>63</v>
      </c>
    </row>
    <row r="50" spans="1:7" ht="19.95" customHeight="1">
      <c r="A50" s="227" t="s">
        <v>153</v>
      </c>
      <c r="B50" s="227" t="s">
        <v>82</v>
      </c>
      <c r="C50" s="138" t="str">
        <f t="shared" si="8"/>
        <v>MoniqueBONNET</v>
      </c>
      <c r="D50" s="94" t="s">
        <v>140</v>
      </c>
      <c r="E50" s="73">
        <v>82</v>
      </c>
    </row>
    <row r="51" spans="1:7" ht="19.95" customHeight="1">
      <c r="A51" s="227" t="s">
        <v>79</v>
      </c>
      <c r="B51" s="227" t="s">
        <v>50</v>
      </c>
      <c r="C51" s="228" t="str">
        <f t="shared" ref="C51:C57" si="9">TRIM(CONCATENATE(B51,A51))</f>
        <v>MichelleCIBERT GOTHON</v>
      </c>
      <c r="D51" s="94" t="s">
        <v>140</v>
      </c>
      <c r="E51" s="73">
        <v>69</v>
      </c>
    </row>
    <row r="52" spans="1:7" ht="19.95" customHeight="1">
      <c r="A52" s="227" t="s">
        <v>58</v>
      </c>
      <c r="B52" s="230" t="s">
        <v>40</v>
      </c>
      <c r="C52" s="228" t="str">
        <f t="shared" si="9"/>
        <v>PhilippeCUVIER</v>
      </c>
      <c r="D52" s="94" t="s">
        <v>139</v>
      </c>
      <c r="E52" s="73">
        <v>72</v>
      </c>
    </row>
    <row r="53" spans="1:7" ht="19.95" customHeight="1">
      <c r="A53" s="227" t="s">
        <v>64</v>
      </c>
      <c r="B53" s="230" t="s">
        <v>165</v>
      </c>
      <c r="C53" s="228" t="str">
        <f t="shared" si="9"/>
        <v>Jean-MichelFAURIE</v>
      </c>
      <c r="D53" s="94" t="s">
        <v>139</v>
      </c>
      <c r="E53" s="73">
        <v>71</v>
      </c>
    </row>
    <row r="54" spans="1:7" ht="19.95" customHeight="1">
      <c r="A54" s="227" t="s">
        <v>190</v>
      </c>
      <c r="B54" s="230" t="s">
        <v>105</v>
      </c>
      <c r="C54" s="228" t="str">
        <f t="shared" si="9"/>
        <v>BrunoFLEURY</v>
      </c>
      <c r="D54" s="94" t="s">
        <v>139</v>
      </c>
      <c r="E54" s="73">
        <v>63</v>
      </c>
    </row>
    <row r="55" spans="1:7" ht="19.95" customHeight="1">
      <c r="A55" s="227" t="s">
        <v>204</v>
      </c>
      <c r="B55" s="230" t="s">
        <v>40</v>
      </c>
      <c r="C55" s="228" t="str">
        <f t="shared" si="9"/>
        <v>PhilippeFOURNIER</v>
      </c>
      <c r="D55" s="94" t="s">
        <v>139</v>
      </c>
      <c r="E55" s="73">
        <v>62</v>
      </c>
    </row>
    <row r="56" spans="1:7" ht="19.95" customHeight="1">
      <c r="A56" s="227" t="s">
        <v>122</v>
      </c>
      <c r="B56" s="230" t="s">
        <v>123</v>
      </c>
      <c r="C56" s="228" t="str">
        <f t="shared" si="9"/>
        <v>MaëlGEBRILLAT</v>
      </c>
      <c r="D56" s="94" t="s">
        <v>139</v>
      </c>
      <c r="E56" s="73">
        <v>67</v>
      </c>
    </row>
    <row r="57" spans="1:7" ht="19.95" customHeight="1">
      <c r="A57" s="227" t="s">
        <v>59</v>
      </c>
      <c r="B57" s="230" t="s">
        <v>60</v>
      </c>
      <c r="C57" s="228" t="str">
        <f t="shared" si="9"/>
        <v>ClaudeMERCIER</v>
      </c>
      <c r="D57" s="94" t="s">
        <v>139</v>
      </c>
      <c r="E57" s="73">
        <v>68</v>
      </c>
    </row>
    <row r="58" spans="1:7" ht="19.95" customHeight="1">
      <c r="A58" s="227" t="s">
        <v>154</v>
      </c>
      <c r="B58" s="230" t="s">
        <v>16</v>
      </c>
      <c r="C58" s="138" t="str">
        <f t="shared" si="8"/>
        <v>Jean MarcMIGUET</v>
      </c>
      <c r="D58" s="94" t="s">
        <v>139</v>
      </c>
      <c r="E58" s="73">
        <v>78</v>
      </c>
    </row>
    <row r="59" spans="1:7" ht="19.95" customHeight="1">
      <c r="A59" s="227" t="s">
        <v>158</v>
      </c>
      <c r="B59" s="230" t="s">
        <v>60</v>
      </c>
      <c r="C59" s="138" t="str">
        <f t="shared" si="8"/>
        <v>ClaudePLOSSARD</v>
      </c>
      <c r="D59" s="94" t="s">
        <v>139</v>
      </c>
      <c r="E59" s="73">
        <v>72</v>
      </c>
    </row>
    <row r="60" spans="1:7" ht="19.95" customHeight="1">
      <c r="A60" s="227" t="s">
        <v>213</v>
      </c>
      <c r="B60" s="230" t="s">
        <v>40</v>
      </c>
      <c r="C60" s="138" t="str">
        <f t="shared" si="8"/>
        <v>PhilippeSAVOIE</v>
      </c>
      <c r="D60" s="94" t="s">
        <v>139</v>
      </c>
      <c r="E60" s="73">
        <v>75</v>
      </c>
    </row>
    <row r="61" spans="1:7" ht="19.95" customHeight="1">
      <c r="A61" s="227" t="s">
        <v>103</v>
      </c>
      <c r="B61" s="230" t="s">
        <v>104</v>
      </c>
      <c r="C61" s="138" t="str">
        <f t="shared" si="8"/>
        <v>ChristopheSOU AH Y</v>
      </c>
      <c r="D61" s="94" t="s">
        <v>139</v>
      </c>
      <c r="E61" s="73">
        <v>60</v>
      </c>
    </row>
    <row r="62" spans="1:7" ht="19.95" customHeight="1">
      <c r="A62" s="227" t="s">
        <v>38</v>
      </c>
      <c r="B62" s="230" t="s">
        <v>39</v>
      </c>
      <c r="C62" s="138" t="str">
        <f t="shared" si="8"/>
        <v>RenéSOUTHON</v>
      </c>
      <c r="D62" s="94" t="s">
        <v>139</v>
      </c>
      <c r="E62" s="73">
        <v>81</v>
      </c>
    </row>
    <row r="63" spans="1:7" ht="19.95" customHeight="1">
      <c r="A63" s="227" t="s">
        <v>38</v>
      </c>
      <c r="B63" s="227" t="s">
        <v>49</v>
      </c>
      <c r="C63" s="138" t="str">
        <f t="shared" si="8"/>
        <v>SylvieSOUTHON</v>
      </c>
      <c r="D63" s="94" t="s">
        <v>140</v>
      </c>
      <c r="E63" s="73">
        <v>80</v>
      </c>
    </row>
    <row r="64" spans="1:7" ht="19.95" customHeight="1">
      <c r="A64" s="227" t="s">
        <v>26</v>
      </c>
      <c r="B64" s="230" t="s">
        <v>27</v>
      </c>
      <c r="C64" s="138" t="str">
        <f t="shared" si="8"/>
        <v>DanielVEDEL</v>
      </c>
      <c r="D64" s="94" t="s">
        <v>139</v>
      </c>
      <c r="E64" s="73">
        <v>66</v>
      </c>
    </row>
    <row r="65" spans="1:7" ht="19.95" customHeight="1">
      <c r="A65" s="76"/>
      <c r="B65" s="76"/>
      <c r="C65" s="83" t="str">
        <f t="shared" si="6"/>
        <v/>
      </c>
      <c r="D65" s="76"/>
      <c r="E65" s="76"/>
    </row>
    <row r="66" spans="1:7" ht="19.95" customHeight="1">
      <c r="A66" s="76"/>
      <c r="B66" s="76"/>
      <c r="C66" s="83" t="str">
        <f t="shared" si="6"/>
        <v/>
      </c>
      <c r="D66" s="76"/>
      <c r="E66" s="76"/>
    </row>
    <row r="67" spans="1:7" ht="19.95" customHeight="1" thickBot="1">
      <c r="A67" s="288" t="s">
        <v>8</v>
      </c>
      <c r="B67" s="289"/>
      <c r="C67" s="289"/>
      <c r="D67" s="289"/>
      <c r="G67" s="89" t="s">
        <v>135</v>
      </c>
    </row>
    <row r="68" spans="1:7" ht="19.2" customHeight="1" thickBot="1">
      <c r="A68" s="84" t="s">
        <v>128</v>
      </c>
      <c r="B68" s="85" t="s">
        <v>70</v>
      </c>
      <c r="C68" s="86" t="s">
        <v>134</v>
      </c>
      <c r="D68" s="86" t="s">
        <v>141</v>
      </c>
      <c r="E68" s="73" t="s">
        <v>129</v>
      </c>
      <c r="G68" s="90">
        <f>SMALL(Tableau71725334149[BRUT],1)</f>
        <v>57</v>
      </c>
    </row>
    <row r="69" spans="1:7" ht="19.2" customHeight="1">
      <c r="A69" s="231" t="s">
        <v>53</v>
      </c>
      <c r="B69" s="232" t="s">
        <v>205</v>
      </c>
      <c r="C69" s="83" t="str">
        <f t="shared" si="6"/>
        <v>HervéGAILLARD</v>
      </c>
      <c r="D69" s="94" t="s">
        <v>139</v>
      </c>
      <c r="E69" s="73">
        <v>57</v>
      </c>
      <c r="G69" s="90">
        <f>SMALL(Tableau71725334149[BRUT],2)</f>
        <v>64</v>
      </c>
    </row>
    <row r="70" spans="1:7" ht="19.95" customHeight="1">
      <c r="A70" s="231" t="s">
        <v>20</v>
      </c>
      <c r="B70" s="232" t="s">
        <v>21</v>
      </c>
      <c r="C70" s="83" t="str">
        <f t="shared" si="6"/>
        <v>MarcGRAVELIN</v>
      </c>
      <c r="D70" s="94" t="s">
        <v>139</v>
      </c>
      <c r="E70" s="73">
        <v>74</v>
      </c>
      <c r="G70" s="90">
        <f>SMALL(Tableau71725334149[BRUT],3)</f>
        <v>71</v>
      </c>
    </row>
    <row r="71" spans="1:7" ht="19.95" customHeight="1">
      <c r="A71" s="231" t="s">
        <v>91</v>
      </c>
      <c r="B71" s="232" t="s">
        <v>44</v>
      </c>
      <c r="C71" s="228" t="str">
        <f t="shared" ref="C71:C73" si="10">TRIM(CONCATENATE(B71,A71))</f>
        <v>GillesJOSSIER</v>
      </c>
      <c r="D71" s="94" t="s">
        <v>139</v>
      </c>
      <c r="E71" s="73">
        <v>71</v>
      </c>
      <c r="G71" s="126"/>
    </row>
    <row r="72" spans="1:7" ht="19.95" customHeight="1">
      <c r="A72" s="231" t="s">
        <v>13</v>
      </c>
      <c r="B72" s="232" t="s">
        <v>14</v>
      </c>
      <c r="C72" s="228" t="str">
        <f t="shared" si="10"/>
        <v>JeanLOUBAT</v>
      </c>
      <c r="D72" s="94" t="s">
        <v>139</v>
      </c>
      <c r="E72" s="73">
        <v>72</v>
      </c>
      <c r="G72" s="126"/>
    </row>
    <row r="73" spans="1:7" ht="19.95" customHeight="1">
      <c r="A73" s="231" t="s">
        <v>13</v>
      </c>
      <c r="B73" s="231" t="s">
        <v>116</v>
      </c>
      <c r="C73" s="228" t="str">
        <f t="shared" si="10"/>
        <v>ChristianeLOUBAT</v>
      </c>
      <c r="D73" s="94" t="s">
        <v>140</v>
      </c>
      <c r="E73" s="73">
        <v>85</v>
      </c>
      <c r="G73" s="126"/>
    </row>
    <row r="74" spans="1:7" ht="19.95" customHeight="1">
      <c r="A74" s="231" t="s">
        <v>73</v>
      </c>
      <c r="B74" s="231" t="s">
        <v>67</v>
      </c>
      <c r="C74" s="83" t="str">
        <f t="shared" si="6"/>
        <v>ElisabethMEYNIAL</v>
      </c>
      <c r="D74" s="94" t="s">
        <v>140</v>
      </c>
      <c r="E74" s="73">
        <v>75</v>
      </c>
    </row>
    <row r="75" spans="1:7" ht="19.95" customHeight="1">
      <c r="A75" s="231" t="s">
        <v>32</v>
      </c>
      <c r="B75" s="231" t="s">
        <v>47</v>
      </c>
      <c r="C75" s="83" t="str">
        <f t="shared" si="6"/>
        <v>HuguettePERRIER</v>
      </c>
      <c r="D75" s="94" t="s">
        <v>140</v>
      </c>
      <c r="E75" s="73">
        <v>76</v>
      </c>
    </row>
    <row r="76" spans="1:7" ht="19.95" customHeight="1">
      <c r="A76" s="231" t="s">
        <v>32</v>
      </c>
      <c r="B76" s="232" t="s">
        <v>33</v>
      </c>
      <c r="C76" s="83" t="str">
        <f t="shared" si="6"/>
        <v>SergePERRIER</v>
      </c>
      <c r="D76" s="94" t="s">
        <v>139</v>
      </c>
      <c r="E76" s="73">
        <v>64</v>
      </c>
    </row>
    <row r="77" spans="1:7" ht="19.95" customHeight="1">
      <c r="A77" s="76"/>
      <c r="B77" s="76"/>
      <c r="C77" s="83" t="str">
        <f t="shared" ref="C77" si="11">TRIM(CONCATENATE(B77,A77))</f>
        <v/>
      </c>
      <c r="D77" s="76"/>
      <c r="E77" s="81"/>
    </row>
    <row r="78" spans="1:7" ht="19.95" customHeight="1">
      <c r="A78" s="76"/>
      <c r="B78" s="76"/>
      <c r="C78" s="83" t="str">
        <f t="shared" si="6"/>
        <v/>
      </c>
      <c r="D78" s="76"/>
      <c r="E78" s="76"/>
    </row>
    <row r="79" spans="1:7" ht="20.399999999999999" thickBot="1">
      <c r="A79" s="290" t="s">
        <v>63</v>
      </c>
      <c r="B79" s="291"/>
      <c r="C79" s="291"/>
      <c r="D79" s="291"/>
      <c r="G79" s="89" t="s">
        <v>135</v>
      </c>
    </row>
    <row r="80" spans="1:7" ht="20.399999999999999" thickBot="1">
      <c r="A80" s="88" t="s">
        <v>128</v>
      </c>
      <c r="B80" s="85" t="s">
        <v>70</v>
      </c>
      <c r="C80" s="86" t="s">
        <v>134</v>
      </c>
      <c r="D80" s="86" t="s">
        <v>141</v>
      </c>
      <c r="E80" s="73" t="s">
        <v>129</v>
      </c>
      <c r="G80" s="90">
        <f>SMALL(Tableau81826344250[BRUT],1)</f>
        <v>66</v>
      </c>
    </row>
    <row r="81" spans="1:7" ht="18.600000000000001">
      <c r="A81" s="154" t="s">
        <v>25</v>
      </c>
      <c r="B81" s="155" t="s">
        <v>12</v>
      </c>
      <c r="C81" s="83" t="str">
        <f t="shared" si="6"/>
        <v>MichelLABAUNE</v>
      </c>
      <c r="D81" s="94" t="s">
        <v>139</v>
      </c>
      <c r="E81" s="73">
        <v>72</v>
      </c>
      <c r="G81" s="90">
        <f>SMALL(Tableau81826344250[BRUT],2)</f>
        <v>69</v>
      </c>
    </row>
    <row r="82" spans="1:7" ht="18.600000000000001">
      <c r="A82" s="154" t="s">
        <v>51</v>
      </c>
      <c r="B82" s="154" t="s">
        <v>52</v>
      </c>
      <c r="C82" s="83" t="str">
        <f t="shared" si="6"/>
        <v>Marie HélèneMONCHAUX</v>
      </c>
      <c r="D82" s="94" t="s">
        <v>140</v>
      </c>
      <c r="E82" s="73">
        <v>85</v>
      </c>
      <c r="G82" s="90">
        <f>SMALL(Tableau81826344250[BRUT],3)</f>
        <v>72</v>
      </c>
    </row>
    <row r="83" spans="1:7" ht="18.600000000000001">
      <c r="A83" s="154" t="s">
        <v>202</v>
      </c>
      <c r="B83" s="155" t="s">
        <v>203</v>
      </c>
      <c r="C83" s="83" t="str">
        <f t="shared" si="6"/>
        <v>Pierre JeanRAYNIERE</v>
      </c>
      <c r="D83" s="94" t="s">
        <v>139</v>
      </c>
      <c r="E83" s="73">
        <v>69</v>
      </c>
    </row>
    <row r="84" spans="1:7" ht="18.600000000000001">
      <c r="A84" s="154" t="s">
        <v>62</v>
      </c>
      <c r="B84" s="154" t="s">
        <v>55</v>
      </c>
      <c r="C84" s="83" t="str">
        <f t="shared" si="6"/>
        <v>MartineVACHOT</v>
      </c>
      <c r="D84" s="94" t="s">
        <v>140</v>
      </c>
      <c r="E84" s="73">
        <v>75</v>
      </c>
    </row>
    <row r="85" spans="1:7" ht="18.600000000000001">
      <c r="A85" s="234" t="s">
        <v>34</v>
      </c>
      <c r="B85" s="147" t="s">
        <v>22</v>
      </c>
      <c r="C85" s="83" t="str">
        <f t="shared" si="6"/>
        <v>Jean LouisRODDE</v>
      </c>
      <c r="D85" s="94" t="s">
        <v>139</v>
      </c>
      <c r="E85" s="73">
        <v>66</v>
      </c>
    </row>
    <row r="86" spans="1:7" ht="18.600000000000001">
      <c r="A86" s="76"/>
      <c r="B86" s="76"/>
      <c r="C86" s="83" t="str">
        <f t="shared" si="6"/>
        <v/>
      </c>
      <c r="D86" s="76"/>
      <c r="E86" s="76"/>
    </row>
    <row r="87" spans="1:7" ht="18.600000000000001">
      <c r="A87" s="76"/>
      <c r="B87" s="76"/>
      <c r="C87" s="83" t="str">
        <f t="shared" si="6"/>
        <v/>
      </c>
      <c r="D87" s="76"/>
      <c r="E87" s="76"/>
    </row>
    <row r="88" spans="1:7" ht="20.399999999999999" thickBot="1">
      <c r="A88" s="278" t="s">
        <v>24</v>
      </c>
      <c r="B88" s="279"/>
      <c r="C88" s="279"/>
      <c r="D88" s="279"/>
      <c r="G88" s="89" t="s">
        <v>135</v>
      </c>
    </row>
    <row r="89" spans="1:7" ht="20.399999999999999" thickBot="1">
      <c r="A89" s="84" t="s">
        <v>128</v>
      </c>
      <c r="B89" s="85" t="s">
        <v>70</v>
      </c>
      <c r="C89" s="86" t="s">
        <v>134</v>
      </c>
      <c r="D89" s="86" t="s">
        <v>141</v>
      </c>
      <c r="E89" s="73" t="s">
        <v>129</v>
      </c>
      <c r="G89" s="90">
        <f>SMALL(Tableau91927354351[BRUT],1)</f>
        <v>62</v>
      </c>
    </row>
    <row r="90" spans="1:7" ht="18.600000000000001">
      <c r="A90" s="221" t="s">
        <v>220</v>
      </c>
      <c r="B90" s="216" t="s">
        <v>221</v>
      </c>
      <c r="C90" s="83" t="str">
        <f t="shared" si="6"/>
        <v>YvesDULAC</v>
      </c>
      <c r="D90" s="94" t="s">
        <v>139</v>
      </c>
      <c r="E90" s="73">
        <v>64</v>
      </c>
      <c r="G90" s="90">
        <f>SMALL(Tableau91927354351[BRUT],2)</f>
        <v>64</v>
      </c>
    </row>
    <row r="91" spans="1:7" ht="18.600000000000001">
      <c r="A91" s="221" t="s">
        <v>125</v>
      </c>
      <c r="B91" s="221" t="s">
        <v>126</v>
      </c>
      <c r="C91" s="83" t="str">
        <f t="shared" si="6"/>
        <v>AgnèsFLECHE</v>
      </c>
      <c r="D91" s="94" t="s">
        <v>140</v>
      </c>
      <c r="E91" s="73">
        <v>85</v>
      </c>
      <c r="G91" s="90">
        <f>SMALL(Tableau91927354351[BRUT],3)</f>
        <v>64</v>
      </c>
    </row>
    <row r="92" spans="1:7" ht="18.600000000000001">
      <c r="A92" s="221" t="s">
        <v>102</v>
      </c>
      <c r="B92" s="221" t="s">
        <v>55</v>
      </c>
      <c r="C92" s="83" t="str">
        <f t="shared" si="6"/>
        <v>MartineMOUTH</v>
      </c>
      <c r="D92" s="94" t="s">
        <v>140</v>
      </c>
      <c r="E92" s="73">
        <v>79</v>
      </c>
    </row>
    <row r="93" spans="1:7" ht="18.600000000000001">
      <c r="A93" s="221" t="s">
        <v>222</v>
      </c>
      <c r="B93" s="216" t="s">
        <v>12</v>
      </c>
      <c r="C93" s="83" t="str">
        <f t="shared" si="6"/>
        <v>MichelPOMARES</v>
      </c>
      <c r="D93" s="94" t="s">
        <v>139</v>
      </c>
      <c r="E93" s="73">
        <v>62</v>
      </c>
    </row>
    <row r="94" spans="1:7" ht="18.600000000000001">
      <c r="A94" s="221" t="s">
        <v>197</v>
      </c>
      <c r="B94" s="216" t="s">
        <v>223</v>
      </c>
      <c r="C94" s="83" t="str">
        <f t="shared" si="6"/>
        <v>Jean-ClaudeRICHARD</v>
      </c>
      <c r="D94" s="94" t="s">
        <v>139</v>
      </c>
      <c r="E94" s="73">
        <v>67</v>
      </c>
    </row>
    <row r="95" spans="1:7" ht="18.600000000000001">
      <c r="A95" s="221" t="s">
        <v>224</v>
      </c>
      <c r="B95" s="221" t="s">
        <v>49</v>
      </c>
      <c r="C95" s="228" t="str">
        <f t="shared" ref="C95:C97" si="12">TRIM(CONCATENATE(B95,A95))</f>
        <v>SylvieRUSNIEWSKI</v>
      </c>
      <c r="D95" s="94" t="s">
        <v>140</v>
      </c>
      <c r="E95" s="73">
        <v>85</v>
      </c>
    </row>
    <row r="96" spans="1:7" ht="18.600000000000001">
      <c r="A96" s="221" t="s">
        <v>225</v>
      </c>
      <c r="B96" s="216" t="s">
        <v>60</v>
      </c>
      <c r="C96" s="228" t="str">
        <f t="shared" si="12"/>
        <v>ClaudeSIMONIN</v>
      </c>
      <c r="D96" s="94" t="s">
        <v>139</v>
      </c>
      <c r="E96" s="73">
        <v>64</v>
      </c>
    </row>
    <row r="97" spans="1:5" ht="18.600000000000001">
      <c r="A97" s="221" t="s">
        <v>133</v>
      </c>
      <c r="B97" s="221" t="s">
        <v>95</v>
      </c>
      <c r="C97" s="228" t="str">
        <f t="shared" si="12"/>
        <v>OdileVIDAL</v>
      </c>
      <c r="D97" s="94" t="s">
        <v>140</v>
      </c>
      <c r="E97" s="73">
        <v>78</v>
      </c>
    </row>
  </sheetData>
  <mergeCells count="12">
    <mergeCell ref="A88:D88"/>
    <mergeCell ref="A1:I1"/>
    <mergeCell ref="A3:D3"/>
    <mergeCell ref="J5:K5"/>
    <mergeCell ref="J11:K11"/>
    <mergeCell ref="A22:D22"/>
    <mergeCell ref="J18:K18"/>
    <mergeCell ref="J21:K21"/>
    <mergeCell ref="A38:D38"/>
    <mergeCell ref="A46:D46"/>
    <mergeCell ref="A67:D67"/>
    <mergeCell ref="A79:D79"/>
  </mergeCells>
  <dataValidations count="1">
    <dataValidation type="list" allowBlank="1" showInputMessage="1" showErrorMessage="1" sqref="A48:B64" xr:uid="{3DCC4F06-8528-7242-A3DA-9DD397972A6E}">
      <formula1>NOM</formula1>
    </dataValidation>
  </dataValidations>
  <pageMargins left="0.7" right="0.7" top="0.75" bottom="0.75" header="0.3" footer="0.3"/>
  <pageSetup paperSize="9"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U84"/>
  <sheetViews>
    <sheetView workbookViewId="0">
      <selection activeCell="G10" sqref="G10"/>
    </sheetView>
  </sheetViews>
  <sheetFormatPr baseColWidth="10" defaultRowHeight="13.2"/>
  <cols>
    <col min="1" max="1" width="30.109375" bestFit="1" customWidth="1"/>
    <col min="2" max="2" width="19" customWidth="1"/>
    <col min="3" max="3" width="21.109375" hidden="1" customWidth="1"/>
    <col min="4" max="4" width="4.6640625" customWidth="1"/>
    <col min="5" max="5" width="8.44140625" customWidth="1"/>
    <col min="6" max="6" width="8.6640625" customWidth="1"/>
    <col min="7" max="7" width="14.33203125" bestFit="1" customWidth="1"/>
    <col min="8" max="8" width="3" customWidth="1"/>
    <col min="9" max="9" width="3.6640625" customWidth="1"/>
    <col min="10" max="10" width="21.109375" customWidth="1"/>
    <col min="11" max="11" width="18" customWidth="1"/>
    <col min="12" max="12" width="15.33203125" customWidth="1"/>
    <col min="13" max="13" width="13" bestFit="1" customWidth="1"/>
    <col min="14" max="14" width="11" customWidth="1"/>
    <col min="15" max="15" width="12.77734375" hidden="1" customWidth="1"/>
    <col min="16" max="16" width="8.109375" hidden="1" customWidth="1"/>
    <col min="17" max="17" width="6.77734375" hidden="1" customWidth="1"/>
    <col min="18" max="18" width="4.77734375" customWidth="1"/>
    <col min="19" max="19" width="30.44140625" bestFit="1" customWidth="1"/>
    <col min="20" max="20" width="9.44140625" bestFit="1" customWidth="1"/>
    <col min="21" max="21" width="13" bestFit="1" customWidth="1"/>
  </cols>
  <sheetData>
    <row r="1" spans="1:21" ht="67.8" customHeight="1" thickBot="1">
      <c r="A1" s="271" t="s">
        <v>189</v>
      </c>
      <c r="B1" s="272"/>
      <c r="C1" s="272"/>
      <c r="D1" s="272"/>
      <c r="E1" s="272"/>
      <c r="F1" s="272"/>
      <c r="G1" s="272"/>
      <c r="H1" s="272"/>
      <c r="I1" s="273"/>
    </row>
    <row r="3" spans="1:21" ht="19.2" thickBot="1">
      <c r="A3" s="280" t="s">
        <v>11</v>
      </c>
      <c r="B3" s="281"/>
      <c r="C3" s="281"/>
      <c r="D3" s="281"/>
    </row>
    <row r="4" spans="1:21" ht="19.95" customHeight="1" thickBot="1">
      <c r="A4" s="84" t="s">
        <v>128</v>
      </c>
      <c r="B4" s="85" t="s">
        <v>70</v>
      </c>
      <c r="C4" s="86" t="s">
        <v>134</v>
      </c>
      <c r="D4" s="86" t="s">
        <v>141</v>
      </c>
      <c r="E4" s="73" t="s">
        <v>129</v>
      </c>
      <c r="G4" s="89" t="s">
        <v>135</v>
      </c>
    </row>
    <row r="5" spans="1:21" ht="19.95" customHeight="1">
      <c r="A5" s="7" t="s">
        <v>130</v>
      </c>
      <c r="B5" s="7" t="s">
        <v>131</v>
      </c>
      <c r="C5" s="83" t="str">
        <f t="shared" ref="C5:C11" si="0">TRIM(CONCATENATE(B5,A5))</f>
        <v>RolandJUHLIEN</v>
      </c>
      <c r="D5" s="94" t="s">
        <v>139</v>
      </c>
      <c r="E5" s="73">
        <v>52</v>
      </c>
      <c r="G5" s="90">
        <f>SMALL(Tableau3132129374553[BRUT],1)</f>
        <v>52</v>
      </c>
      <c r="J5" s="274" t="s">
        <v>136</v>
      </c>
      <c r="K5" s="275"/>
      <c r="L5" s="114" t="s">
        <v>137</v>
      </c>
      <c r="M5" s="92" t="s">
        <v>138</v>
      </c>
    </row>
    <row r="6" spans="1:21" ht="19.95" customHeight="1">
      <c r="A6" s="241" t="s">
        <v>149</v>
      </c>
      <c r="B6" s="216" t="s">
        <v>88</v>
      </c>
      <c r="C6" s="83" t="str">
        <f t="shared" si="0"/>
        <v>Jean ClaudeLAPERNA</v>
      </c>
      <c r="D6" s="94" t="s">
        <v>139</v>
      </c>
      <c r="E6" s="73">
        <v>55</v>
      </c>
      <c r="G6" s="90">
        <f>SMALL(Tableau3132129374553[BRUT],2)</f>
        <v>55</v>
      </c>
      <c r="J6" s="96" t="str">
        <f t="array" ref="J6">IFERROR(INDEX(A$5:A$107, MATCH(1, (D$5:D$107="F")*(E$5:E$107=L6)*(COUNTIF(J$5:J5,A$5:A$107)=0), 0)),"")</f>
        <v>VACHOT</v>
      </c>
      <c r="K6" s="96" t="str">
        <f t="array" ref="K6">IFERROR(INDEX(B$5:B$107, MATCH(1, (D$5:D$107="F")*(E$5:E$107=L6)*(COUNTIF(L$5:L5,E$5:E$107)=0), 0)),"")</f>
        <v>Martine</v>
      </c>
      <c r="L6" s="115">
        <f t="array" ref="L6">IFERROR(SMALL(IF(D$6:D$107="F",E$6:E$107), ROW(A1)),"")</f>
        <v>66</v>
      </c>
      <c r="M6" s="93">
        <v>1</v>
      </c>
      <c r="O6" s="109" t="s">
        <v>147</v>
      </c>
      <c r="P6" s="110" t="s">
        <v>148</v>
      </c>
      <c r="Q6" s="111" t="s">
        <v>138</v>
      </c>
      <c r="S6" s="105" t="s">
        <v>147</v>
      </c>
      <c r="T6" s="117" t="s">
        <v>148</v>
      </c>
      <c r="U6" s="107" t="s">
        <v>138</v>
      </c>
    </row>
    <row r="7" spans="1:21" ht="19.95" customHeight="1">
      <c r="A7" s="241" t="s">
        <v>43</v>
      </c>
      <c r="B7" s="216" t="s">
        <v>37</v>
      </c>
      <c r="C7" s="83" t="str">
        <f t="shared" si="0"/>
        <v>JackyMACHAJ</v>
      </c>
      <c r="D7" s="94" t="s">
        <v>139</v>
      </c>
      <c r="E7" s="73">
        <v>64</v>
      </c>
      <c r="G7" s="90">
        <f>SMALL(Tableau3132129374553[BRUT],3)</f>
        <v>58</v>
      </c>
      <c r="J7" s="216" t="s">
        <v>232</v>
      </c>
      <c r="K7" s="216" t="s">
        <v>57</v>
      </c>
      <c r="L7" s="115">
        <f t="array" ref="L7">IFERROR(SMALL(IF((D$5:D$107="F")*(COUNTIF(L$5:L5,E$5:E$107)=0), E$5:E$107), ROW(A2)),"")</f>
        <v>66</v>
      </c>
      <c r="M7" s="93">
        <v>1</v>
      </c>
      <c r="O7" s="108" t="str">
        <f>A3</f>
        <v>RIOM</v>
      </c>
      <c r="P7" s="103">
        <f>SUM(G5:G7)</f>
        <v>165</v>
      </c>
      <c r="Q7" s="93">
        <f>RANK(P7, P$7:P$13, 1) + COUNTIF(P$7:P7, P7) - 1</f>
        <v>1</v>
      </c>
      <c r="S7" s="106" t="str">
        <f>INDEX(O$7:O$13, MATCH(ROW(A1), Q$7:Q$13, 0))</f>
        <v>RIOM</v>
      </c>
      <c r="T7" s="118">
        <f>INDEX(P$7:P$13, MATCH(ROW(A1), Q$7:Q$13, 0))</f>
        <v>165</v>
      </c>
      <c r="U7" s="93">
        <f>ROW(A1)</f>
        <v>1</v>
      </c>
    </row>
    <row r="8" spans="1:21" ht="19.95" customHeight="1">
      <c r="A8" s="241" t="s">
        <v>41</v>
      </c>
      <c r="B8" s="216" t="s">
        <v>42</v>
      </c>
      <c r="C8" s="83" t="str">
        <f t="shared" si="0"/>
        <v>ChristianMOULIN</v>
      </c>
      <c r="D8" s="94" t="s">
        <v>139</v>
      </c>
      <c r="E8" s="73">
        <v>58</v>
      </c>
      <c r="J8" s="244" t="s">
        <v>79</v>
      </c>
      <c r="K8" s="244" t="s">
        <v>50</v>
      </c>
      <c r="L8" s="115">
        <v>67</v>
      </c>
      <c r="M8" s="93">
        <v>3</v>
      </c>
      <c r="O8" s="108" t="str">
        <f>A15</f>
        <v>GAZELEC CLERMONT</v>
      </c>
      <c r="P8" s="103">
        <f>SUM(G17:G19)</f>
        <v>183</v>
      </c>
      <c r="Q8" s="93">
        <f>RANK(P8, P$7:P$13, 1) + COUNTIF(P$7:P8, P8) - 1</f>
        <v>4</v>
      </c>
      <c r="S8" s="106" t="str">
        <f t="shared" ref="S8:S10" si="1">INDEX(O$7:O$13, MATCH(ROW(A2), Q$7:Q$13, 0))</f>
        <v>CHARADE</v>
      </c>
      <c r="T8" s="118">
        <f t="shared" ref="T8:T10" si="2">INDEX(P$7:P$13, MATCH(ROW(A2), Q$7:Q$13, 0))</f>
        <v>181</v>
      </c>
      <c r="U8" s="93">
        <f t="shared" ref="U8:U10" si="3">ROW(A2)</f>
        <v>2</v>
      </c>
    </row>
    <row r="9" spans="1:21" ht="19.95" customHeight="1">
      <c r="A9" s="241" t="s">
        <v>113</v>
      </c>
      <c r="B9" s="216" t="s">
        <v>37</v>
      </c>
      <c r="C9" s="83" t="str">
        <f t="shared" si="0"/>
        <v>JackyPEGEON</v>
      </c>
      <c r="D9" s="94" t="s">
        <v>139</v>
      </c>
      <c r="E9" s="73">
        <v>66</v>
      </c>
      <c r="J9" s="232" t="s">
        <v>32</v>
      </c>
      <c r="K9" s="232" t="s">
        <v>47</v>
      </c>
      <c r="L9" s="115">
        <v>67</v>
      </c>
      <c r="M9" s="93">
        <v>3</v>
      </c>
      <c r="O9" s="108" t="str">
        <f>A29</f>
        <v>GAZELEC MOULINS/VICHY</v>
      </c>
      <c r="P9" s="103">
        <f>SUM(G31:G33)</f>
        <v>270</v>
      </c>
      <c r="Q9" s="93">
        <f>RANK(P9, P$7:P$13, 1) + COUNTIF(P$7:P9, P9) - 1</f>
        <v>7</v>
      </c>
      <c r="S9" s="106" t="str">
        <f t="shared" si="1"/>
        <v>VAL D'AUZON</v>
      </c>
      <c r="T9" s="118">
        <f t="shared" si="2"/>
        <v>182</v>
      </c>
      <c r="U9" s="93">
        <f t="shared" si="3"/>
        <v>3</v>
      </c>
    </row>
    <row r="10" spans="1:21" ht="19.95" customHeight="1">
      <c r="A10" s="241" t="s">
        <v>219</v>
      </c>
      <c r="B10" s="230" t="s">
        <v>29</v>
      </c>
      <c r="C10" s="83" t="str">
        <f t="shared" si="0"/>
        <v>DominiqueZANADA</v>
      </c>
      <c r="D10" s="94" t="s">
        <v>139</v>
      </c>
      <c r="E10" s="73">
        <v>59</v>
      </c>
      <c r="O10" s="108" t="str">
        <f>A37</f>
        <v>VAL D'AUZON</v>
      </c>
      <c r="P10" s="103">
        <f>SUM(G39:G41)</f>
        <v>182</v>
      </c>
      <c r="Q10" s="93">
        <f>RANK(P10, P$7:P$13, 1) + COUNTIF(P$7:P10, P10) - 1</f>
        <v>3</v>
      </c>
      <c r="S10" s="106" t="str">
        <f t="shared" si="1"/>
        <v>GAZELEC CLERMONT</v>
      </c>
      <c r="T10" s="118">
        <f t="shared" si="2"/>
        <v>183</v>
      </c>
      <c r="U10" s="93">
        <f t="shared" si="3"/>
        <v>4</v>
      </c>
    </row>
    <row r="11" spans="1:21" ht="19.95" customHeight="1">
      <c r="A11" s="235" t="s">
        <v>30</v>
      </c>
      <c r="B11" s="235" t="s">
        <v>159</v>
      </c>
      <c r="C11" s="83" t="str">
        <f t="shared" si="0"/>
        <v>JoëlleKUCHCIK</v>
      </c>
      <c r="D11" s="94" t="s">
        <v>140</v>
      </c>
      <c r="E11" s="73">
        <v>77</v>
      </c>
      <c r="J11" s="274" t="s">
        <v>142</v>
      </c>
      <c r="K11" s="275"/>
      <c r="L11" s="114" t="s">
        <v>137</v>
      </c>
      <c r="M11" s="92" t="s">
        <v>138</v>
      </c>
      <c r="O11" s="108" t="str">
        <f>A55</f>
        <v>CHARADE</v>
      </c>
      <c r="P11" s="103">
        <f>SUM(G57:G59)</f>
        <v>181</v>
      </c>
      <c r="Q11" s="93">
        <f>RANK(P11, P$7:P$13, 1) + COUNTIF(P$7:P11, P11) - 1</f>
        <v>2</v>
      </c>
      <c r="S11" s="106" t="str">
        <f>INDEX(O$7:O$13, MATCH(ROW(A6), Q$7:Q$13, 0))</f>
        <v>MAURIAC</v>
      </c>
      <c r="T11" s="118">
        <f>INDEX(P$7:P$13, MATCH(ROW(A6), Q$7:Q$13, 0))</f>
        <v>201</v>
      </c>
      <c r="U11" s="93">
        <f>ROW(A6)</f>
        <v>6</v>
      </c>
    </row>
    <row r="12" spans="1:21" ht="19.95" customHeight="1">
      <c r="C12" s="83"/>
      <c r="D12" s="76"/>
      <c r="E12" s="76"/>
      <c r="J12" s="98" t="str">
        <f t="array" ref="J12">IFERROR(INDEX(A$5:A$107, MATCH(1, (D$5:D$107="M")*(E$5:E$107=L12)*(COUNTIF(J$11:J11,A$5:A$107)=0), 0)),"")</f>
        <v>JUHLIEN</v>
      </c>
      <c r="K12" s="98" t="str">
        <f t="array" ref="K12">IFERROR(INDEX(B$5:B$107, MATCH(1, (D$5:D$107="M")*(E$5:E$107=L12)*(COUNTIF(L$11:L11,E$5:E$107)=0), 0)),"")</f>
        <v>Roland</v>
      </c>
      <c r="L12" s="116">
        <f t="array" ref="L12">IFERROR(SMALL(IF(D$5:D$107="M",E$5:E$107), ROW(A1)),"")</f>
        <v>52</v>
      </c>
      <c r="M12" s="95">
        <v>1</v>
      </c>
      <c r="O12" s="108" t="str">
        <f>A67</f>
        <v>MAURIAC</v>
      </c>
      <c r="P12" s="103">
        <f>SUM(G69:G71)</f>
        <v>201</v>
      </c>
      <c r="Q12" s="93">
        <f>RANK(P12, P$7:P$13, 1) + COUNTIF(P$7:P12, P12) - 1</f>
        <v>6</v>
      </c>
      <c r="S12" s="106" t="str">
        <f>INDEX(O$7:O$13, MATCH(ROW(A5), Q$7:Q$13, 0))</f>
        <v>MONTPENSIER</v>
      </c>
      <c r="T12" s="118">
        <f>INDEX(P$7:P$13, MATCH(ROW(A5), Q$7:Q$13, 0))</f>
        <v>183</v>
      </c>
      <c r="U12" s="93">
        <f>ROW(A5)</f>
        <v>5</v>
      </c>
    </row>
    <row r="13" spans="1:21" ht="19.95" customHeight="1">
      <c r="C13" s="83"/>
      <c r="D13" s="76"/>
      <c r="E13" s="76"/>
      <c r="J13" s="98" t="str">
        <f t="array" ref="J13">IFERROR(INDEX(A$5:A$107, MATCH(1, (D$5:D$107="M")*(E$5:E$107=L13)*(COUNTIF(J$11:J12,A$5:A$107)=0), 0)),"")</f>
        <v>POMARES</v>
      </c>
      <c r="K13" s="98" t="str">
        <f t="array" ref="K13">IFERROR(INDEX(B$5:B$107, MATCH(1, (D$5:D$107="M")*(E$5:E$107=L13)*(COUNTIF(K$11:K12,B$5:B$107)=0), 0)),"")</f>
        <v>Michel</v>
      </c>
      <c r="L13" s="116">
        <f t="array" ref="L13">IFERROR(SMALL(IF(D$5:D$107="M",E$5:E$107), ROW(A2)),"")</f>
        <v>53</v>
      </c>
      <c r="M13" s="95">
        <v>2</v>
      </c>
      <c r="O13" s="112" t="str">
        <f>A77</f>
        <v>MONTPENSIER</v>
      </c>
      <c r="P13" s="113">
        <f>SUM(G79:G81)</f>
        <v>183</v>
      </c>
      <c r="Q13" s="93">
        <f>RANK(P13, P$7:P$13, 1) + COUNTIF(P$7:P13, P13) - 1</f>
        <v>5</v>
      </c>
      <c r="S13" s="106" t="e">
        <f>INDEX(O$7:O$13, MATCH(ROW(A11), Q$7:Q$13, 0))</f>
        <v>#N/A</v>
      </c>
      <c r="T13" s="118" t="e">
        <f>INDEX(P$7:P$13, MATCH(ROW(A11), Q$7:Q$13, 0))</f>
        <v>#N/A</v>
      </c>
      <c r="U13" s="93">
        <f>ROW(A11)</f>
        <v>11</v>
      </c>
    </row>
    <row r="14" spans="1:21" ht="19.95" customHeight="1">
      <c r="A14" s="76"/>
      <c r="B14" s="76"/>
      <c r="C14" s="83" t="str">
        <f t="shared" ref="C14" si="4">TRIM(CONCATENATE(B14,A14))</f>
        <v/>
      </c>
      <c r="D14" s="76"/>
      <c r="E14" s="76"/>
      <c r="J14" s="98" t="str">
        <f t="array" ref="J14">IFERROR(INDEX(A$5:A$107, MATCH(1, (D$5:D$107="M")*(E$5:E$107=L14)*(COUNTIF(J$11:J13,A$5:A$107)=0), 0)),"")</f>
        <v>LAPERNA</v>
      </c>
      <c r="K14" s="98" t="s">
        <v>88</v>
      </c>
      <c r="L14" s="116">
        <f t="array" ref="L14">IFERROR(SMALL(IF(D$5:D$107="M",E$5:E$107), ROW(A3)),"")</f>
        <v>55</v>
      </c>
      <c r="M14" s="95">
        <v>3</v>
      </c>
    </row>
    <row r="15" spans="1:21" ht="19.95" customHeight="1">
      <c r="A15" s="282" t="s">
        <v>107</v>
      </c>
      <c r="B15" s="283"/>
      <c r="C15" s="283"/>
      <c r="D15" s="283"/>
    </row>
    <row r="16" spans="1:21" ht="19.95" customHeight="1" thickBot="1">
      <c r="A16" s="84" t="s">
        <v>128</v>
      </c>
      <c r="B16" s="85" t="s">
        <v>70</v>
      </c>
      <c r="C16" s="86" t="s">
        <v>134</v>
      </c>
      <c r="D16" s="86" t="s">
        <v>141</v>
      </c>
      <c r="E16" s="73" t="s">
        <v>129</v>
      </c>
      <c r="G16" s="89" t="s">
        <v>135</v>
      </c>
      <c r="J16" s="276" t="s">
        <v>143</v>
      </c>
      <c r="K16" s="277"/>
      <c r="L16" s="91" t="s">
        <v>144</v>
      </c>
      <c r="M16" s="99" t="s">
        <v>234</v>
      </c>
    </row>
    <row r="17" spans="1:13" ht="19.95" customHeight="1">
      <c r="A17" s="217" t="s">
        <v>6</v>
      </c>
      <c r="B17" s="216" t="s">
        <v>7</v>
      </c>
      <c r="C17" s="83" t="str">
        <f t="shared" ref="C17:C82" si="5">TRIM(CONCATENATE(B17,A17))</f>
        <v>RobertBOURGIER</v>
      </c>
      <c r="D17" s="94" t="s">
        <v>139</v>
      </c>
      <c r="E17" s="73">
        <v>65</v>
      </c>
      <c r="G17" s="90">
        <f>SMALL(Tableau4142230384654[BRUT],1)</f>
        <v>59</v>
      </c>
      <c r="J17" s="96" t="s">
        <v>73</v>
      </c>
      <c r="K17" s="96" t="s">
        <v>67</v>
      </c>
      <c r="L17" s="103">
        <v>4.5199999999999996</v>
      </c>
      <c r="M17" s="76"/>
    </row>
    <row r="18" spans="1:13" ht="19.95" customHeight="1">
      <c r="A18" s="15" t="s">
        <v>18</v>
      </c>
      <c r="B18" s="193" t="s">
        <v>19</v>
      </c>
      <c r="C18" s="83" t="str">
        <f t="shared" si="5"/>
        <v>GérardCAMBET</v>
      </c>
      <c r="D18" s="94" t="s">
        <v>139</v>
      </c>
      <c r="E18" s="73">
        <v>59</v>
      </c>
      <c r="G18" s="90">
        <f>SMALL(Tableau4142230384654[BRUT],2)</f>
        <v>61</v>
      </c>
      <c r="J18" s="101"/>
      <c r="K18" s="101"/>
      <c r="L18" s="101"/>
      <c r="M18" s="76"/>
    </row>
    <row r="19" spans="1:13" ht="19.95" customHeight="1">
      <c r="A19" s="217" t="s">
        <v>89</v>
      </c>
      <c r="B19" s="216" t="s">
        <v>31</v>
      </c>
      <c r="C19" s="83" t="str">
        <f t="shared" si="5"/>
        <v>GeorgesFLORENCIO</v>
      </c>
      <c r="D19" s="94" t="s">
        <v>139</v>
      </c>
      <c r="E19" s="73">
        <v>61</v>
      </c>
      <c r="G19" s="90">
        <f>SMALL(Tableau4142230384654[BRUT],3)</f>
        <v>63</v>
      </c>
      <c r="J19" s="276" t="s">
        <v>146</v>
      </c>
      <c r="K19" s="277"/>
      <c r="L19" s="91" t="s">
        <v>144</v>
      </c>
      <c r="M19" s="102" t="s">
        <v>234</v>
      </c>
    </row>
    <row r="20" spans="1:13" ht="19.95" customHeight="1">
      <c r="A20" s="217" t="s">
        <v>89</v>
      </c>
      <c r="B20" s="217" t="s">
        <v>90</v>
      </c>
      <c r="C20" s="83" t="str">
        <f t="shared" si="5"/>
        <v>JanineFLORENCIO</v>
      </c>
      <c r="D20" s="94" t="s">
        <v>140</v>
      </c>
      <c r="E20" s="73">
        <v>68</v>
      </c>
      <c r="J20" s="98" t="s">
        <v>53</v>
      </c>
      <c r="K20" s="98" t="s">
        <v>205</v>
      </c>
      <c r="L20" s="103">
        <v>2.09</v>
      </c>
      <c r="M20" s="104"/>
    </row>
    <row r="21" spans="1:13" ht="19.95" customHeight="1">
      <c r="A21" s="217" t="s">
        <v>231</v>
      </c>
      <c r="B21" s="216" t="s">
        <v>36</v>
      </c>
      <c r="C21" s="83" t="str">
        <f t="shared" si="5"/>
        <v>PierreDAUPHIN</v>
      </c>
      <c r="D21" s="94" t="s">
        <v>139</v>
      </c>
      <c r="E21" s="73">
        <v>76</v>
      </c>
    </row>
    <row r="22" spans="1:13" ht="19.95" customHeight="1">
      <c r="A22" s="217" t="s">
        <v>163</v>
      </c>
      <c r="B22" s="217" t="s">
        <v>164</v>
      </c>
      <c r="C22" s="242" t="str">
        <f t="shared" ref="C22:C24" si="6">TRIM(CONCATENATE(B22,A22))</f>
        <v>NicoleMAZUEL</v>
      </c>
      <c r="D22" s="94" t="s">
        <v>140</v>
      </c>
      <c r="E22" s="73">
        <v>72</v>
      </c>
    </row>
    <row r="23" spans="1:13" ht="19.95" customHeight="1">
      <c r="A23" s="217" t="s">
        <v>54</v>
      </c>
      <c r="B23" s="216" t="s">
        <v>12</v>
      </c>
      <c r="C23" s="242" t="str">
        <f t="shared" si="6"/>
        <v>MichelMANOUVRIER</v>
      </c>
      <c r="D23" s="94" t="s">
        <v>139</v>
      </c>
      <c r="E23" s="73">
        <v>71</v>
      </c>
    </row>
    <row r="24" spans="1:13" ht="19.95" customHeight="1">
      <c r="A24" s="217" t="s">
        <v>56</v>
      </c>
      <c r="B24" s="217" t="s">
        <v>57</v>
      </c>
      <c r="C24" s="242" t="str">
        <f t="shared" si="6"/>
        <v>CorinneTIXIER</v>
      </c>
      <c r="D24" s="94" t="s">
        <v>140</v>
      </c>
      <c r="E24" s="73">
        <v>81</v>
      </c>
    </row>
    <row r="25" spans="1:13" ht="19.95" customHeight="1">
      <c r="A25" s="217" t="s">
        <v>74</v>
      </c>
      <c r="B25" s="216" t="s">
        <v>44</v>
      </c>
      <c r="C25" s="83" t="str">
        <f t="shared" si="5"/>
        <v>GillesVESCOVI</v>
      </c>
      <c r="D25" s="94" t="s">
        <v>139</v>
      </c>
      <c r="E25" s="73">
        <v>63</v>
      </c>
    </row>
    <row r="26" spans="1:13" ht="19.95" customHeight="1">
      <c r="A26" s="217" t="s">
        <v>74</v>
      </c>
      <c r="B26" s="217" t="s">
        <v>78</v>
      </c>
      <c r="C26" s="83" t="str">
        <f t="shared" si="5"/>
        <v>RégineVESCOVI</v>
      </c>
      <c r="D26" s="94" t="s">
        <v>140</v>
      </c>
      <c r="E26" s="73">
        <v>72</v>
      </c>
    </row>
    <row r="27" spans="1:13" ht="19.95" customHeight="1">
      <c r="A27" s="76"/>
      <c r="B27" s="76"/>
      <c r="C27" s="83" t="str">
        <f t="shared" si="5"/>
        <v/>
      </c>
      <c r="D27" s="76"/>
      <c r="E27" s="76"/>
    </row>
    <row r="28" spans="1:13" ht="19.95" customHeight="1">
      <c r="A28" s="76"/>
      <c r="B28" s="76"/>
      <c r="C28" s="83" t="str">
        <f t="shared" si="5"/>
        <v/>
      </c>
      <c r="D28" s="76"/>
      <c r="E28" s="76"/>
    </row>
    <row r="29" spans="1:13" ht="19.95" customHeight="1">
      <c r="A29" s="284" t="s">
        <v>132</v>
      </c>
      <c r="B29" s="285"/>
      <c r="C29" s="285"/>
      <c r="D29" s="285"/>
    </row>
    <row r="30" spans="1:13" ht="19.95" customHeight="1" thickBot="1">
      <c r="A30" s="84" t="s">
        <v>128</v>
      </c>
      <c r="B30" s="85" t="s">
        <v>70</v>
      </c>
      <c r="C30" s="86" t="s">
        <v>134</v>
      </c>
      <c r="D30" s="86" t="s">
        <v>141</v>
      </c>
      <c r="E30" s="73" t="s">
        <v>129</v>
      </c>
      <c r="G30" s="89" t="s">
        <v>135</v>
      </c>
    </row>
    <row r="31" spans="1:13" ht="19.95" customHeight="1">
      <c r="A31" s="77"/>
      <c r="B31" s="77"/>
      <c r="C31" s="83" t="str">
        <f t="shared" si="5"/>
        <v/>
      </c>
      <c r="D31" s="94"/>
      <c r="E31" s="78">
        <v>90</v>
      </c>
      <c r="G31" s="90">
        <f>SMALL(Tableau5152331394755[BRUT],1)</f>
        <v>90</v>
      </c>
    </row>
    <row r="32" spans="1:13" ht="19.95" customHeight="1">
      <c r="A32" s="77"/>
      <c r="B32" s="77"/>
      <c r="C32" s="83" t="str">
        <f t="shared" si="5"/>
        <v/>
      </c>
      <c r="D32" s="94"/>
      <c r="E32" s="74">
        <v>90</v>
      </c>
      <c r="G32" s="90">
        <f>SMALL(Tableau5152331394755[BRUT],2)</f>
        <v>90</v>
      </c>
    </row>
    <row r="33" spans="1:7" ht="19.95" customHeight="1">
      <c r="A33" s="79"/>
      <c r="B33" s="77"/>
      <c r="C33" s="83" t="str">
        <f t="shared" si="5"/>
        <v/>
      </c>
      <c r="D33" s="94"/>
      <c r="E33" s="74">
        <v>90</v>
      </c>
      <c r="G33" s="90">
        <f>SMALL(Tableau5152331394755[BRUT],3)</f>
        <v>90</v>
      </c>
    </row>
    <row r="34" spans="1:7" ht="19.95" customHeight="1">
      <c r="A34" s="79"/>
      <c r="B34" s="77"/>
      <c r="C34" s="83" t="str">
        <f t="shared" si="5"/>
        <v/>
      </c>
      <c r="D34" s="94"/>
      <c r="E34" s="74">
        <v>90</v>
      </c>
    </row>
    <row r="35" spans="1:7" ht="19.95" customHeight="1">
      <c r="A35" s="76"/>
      <c r="B35" s="76"/>
      <c r="C35" s="83" t="str">
        <f t="shared" si="5"/>
        <v/>
      </c>
      <c r="D35" s="76"/>
      <c r="E35" s="76"/>
    </row>
    <row r="36" spans="1:7" ht="19.95" customHeight="1">
      <c r="A36" s="76"/>
      <c r="B36" s="76"/>
      <c r="C36" s="83" t="str">
        <f t="shared" si="5"/>
        <v/>
      </c>
      <c r="D36" s="76"/>
      <c r="E36" s="76"/>
    </row>
    <row r="37" spans="1:7" ht="19.95" customHeight="1" thickBot="1">
      <c r="A37" s="286" t="s">
        <v>17</v>
      </c>
      <c r="B37" s="287"/>
      <c r="C37" s="287"/>
      <c r="D37" s="287"/>
    </row>
    <row r="38" spans="1:7" ht="19.95" customHeight="1" thickBot="1">
      <c r="A38" s="84" t="s">
        <v>128</v>
      </c>
      <c r="B38" s="85" t="s">
        <v>70</v>
      </c>
      <c r="C38" s="86" t="s">
        <v>134</v>
      </c>
      <c r="D38" s="86" t="s">
        <v>141</v>
      </c>
      <c r="E38" s="73" t="s">
        <v>129</v>
      </c>
      <c r="G38" s="89" t="s">
        <v>135</v>
      </c>
    </row>
    <row r="39" spans="1:7" ht="19.95" customHeight="1">
      <c r="A39" s="243" t="s">
        <v>28</v>
      </c>
      <c r="B39" s="244" t="s">
        <v>23</v>
      </c>
      <c r="C39" s="83" t="str">
        <f t="shared" si="5"/>
        <v>JacquesANAVOISARD</v>
      </c>
      <c r="D39" s="94" t="s">
        <v>139</v>
      </c>
      <c r="E39" s="73">
        <v>75</v>
      </c>
      <c r="G39" s="90">
        <f>SMALL(Tableau6162432404856[BRUT],1)</f>
        <v>60</v>
      </c>
    </row>
    <row r="40" spans="1:7" ht="19.95" customHeight="1">
      <c r="A40" s="243" t="s">
        <v>100</v>
      </c>
      <c r="B40" s="244" t="s">
        <v>101</v>
      </c>
      <c r="C40" s="242" t="str">
        <f t="shared" ref="C40:C44" si="7">TRIM(CONCATENATE(B40,A40))</f>
        <v>Jean LucBABUT</v>
      </c>
      <c r="D40" s="94" t="s">
        <v>139</v>
      </c>
      <c r="E40" s="73">
        <v>74</v>
      </c>
      <c r="G40" s="90">
        <f>SMALL(Tableau6162432404856[BRUT],2)</f>
        <v>61</v>
      </c>
    </row>
    <row r="41" spans="1:7" ht="19.95" customHeight="1">
      <c r="A41" s="243" t="s">
        <v>79</v>
      </c>
      <c r="B41" s="243" t="s">
        <v>50</v>
      </c>
      <c r="C41" s="242" t="str">
        <f t="shared" si="7"/>
        <v>MichelleCIBERT GOTHON</v>
      </c>
      <c r="D41" s="94" t="s">
        <v>140</v>
      </c>
      <c r="E41" s="73">
        <v>67</v>
      </c>
      <c r="G41" s="90">
        <f>SMALL(Tableau6162432404856[BRUT],3)</f>
        <v>61</v>
      </c>
    </row>
    <row r="42" spans="1:7" ht="19.95" customHeight="1">
      <c r="A42" s="243" t="s">
        <v>190</v>
      </c>
      <c r="B42" s="244" t="s">
        <v>105</v>
      </c>
      <c r="C42" s="242" t="str">
        <f t="shared" si="7"/>
        <v>BrunoFLEURY</v>
      </c>
      <c r="D42" s="94" t="s">
        <v>139</v>
      </c>
      <c r="E42" s="73">
        <v>61</v>
      </c>
      <c r="G42" s="126"/>
    </row>
    <row r="43" spans="1:7" ht="19.95" customHeight="1">
      <c r="A43" s="243" t="s">
        <v>122</v>
      </c>
      <c r="B43" s="244" t="s">
        <v>123</v>
      </c>
      <c r="C43" s="242" t="str">
        <f t="shared" si="7"/>
        <v>MaëlGEBRILLAT</v>
      </c>
      <c r="D43" s="94" t="s">
        <v>139</v>
      </c>
      <c r="E43" s="73">
        <v>69</v>
      </c>
      <c r="G43" s="126"/>
    </row>
    <row r="44" spans="1:7" ht="19.95" customHeight="1">
      <c r="A44" s="243" t="s">
        <v>66</v>
      </c>
      <c r="B44" s="244" t="s">
        <v>166</v>
      </c>
      <c r="C44" s="242" t="str">
        <f t="shared" si="7"/>
        <v>MickaëlGUEGUEN</v>
      </c>
      <c r="D44" s="94" t="s">
        <v>139</v>
      </c>
      <c r="E44" s="73">
        <v>67</v>
      </c>
      <c r="G44" s="126"/>
    </row>
    <row r="45" spans="1:7" ht="19.95" customHeight="1">
      <c r="A45" s="243" t="s">
        <v>59</v>
      </c>
      <c r="B45" s="244" t="s">
        <v>60</v>
      </c>
      <c r="C45" s="242" t="str">
        <f t="shared" ref="C45:C51" si="8">TRIM(CONCATENATE(B45,A45))</f>
        <v>ClaudeMERCIER</v>
      </c>
      <c r="D45" s="94" t="s">
        <v>139</v>
      </c>
      <c r="E45" s="73">
        <v>66</v>
      </c>
      <c r="G45" s="126"/>
    </row>
    <row r="46" spans="1:7" ht="19.95" customHeight="1">
      <c r="A46" s="243" t="s">
        <v>65</v>
      </c>
      <c r="B46" s="244" t="s">
        <v>27</v>
      </c>
      <c r="C46" s="242" t="str">
        <f t="shared" si="8"/>
        <v>DanielPIERROT</v>
      </c>
      <c r="D46" s="94" t="s">
        <v>139</v>
      </c>
      <c r="E46" s="73">
        <v>60</v>
      </c>
      <c r="G46" s="126"/>
    </row>
    <row r="47" spans="1:7" ht="19.95" customHeight="1">
      <c r="A47" s="243" t="s">
        <v>158</v>
      </c>
      <c r="B47" s="244" t="s">
        <v>60</v>
      </c>
      <c r="C47" s="242" t="str">
        <f t="shared" si="8"/>
        <v>ClaudePLOSSARD</v>
      </c>
      <c r="D47" s="94" t="s">
        <v>139</v>
      </c>
      <c r="E47" s="73">
        <v>70</v>
      </c>
      <c r="G47" s="126"/>
    </row>
    <row r="48" spans="1:7" ht="19.95" customHeight="1">
      <c r="A48" s="243" t="s">
        <v>213</v>
      </c>
      <c r="B48" s="244" t="s">
        <v>40</v>
      </c>
      <c r="C48" s="242" t="str">
        <f t="shared" si="8"/>
        <v>PhilippeSAVOIE</v>
      </c>
      <c r="D48" s="94" t="s">
        <v>139</v>
      </c>
      <c r="E48" s="73">
        <v>71</v>
      </c>
      <c r="G48" s="126"/>
    </row>
    <row r="49" spans="1:7" ht="19.95" customHeight="1">
      <c r="A49" s="243" t="s">
        <v>103</v>
      </c>
      <c r="B49" s="244" t="s">
        <v>104</v>
      </c>
      <c r="C49" s="242" t="str">
        <f t="shared" si="8"/>
        <v>ChristopheSOU AH Y</v>
      </c>
      <c r="D49" s="94" t="s">
        <v>139</v>
      </c>
      <c r="E49" s="73">
        <v>63</v>
      </c>
      <c r="G49" s="126"/>
    </row>
    <row r="50" spans="1:7" ht="19.95" customHeight="1">
      <c r="A50" s="243" t="s">
        <v>38</v>
      </c>
      <c r="B50" s="244" t="s">
        <v>39</v>
      </c>
      <c r="C50" s="242" t="str">
        <f t="shared" si="8"/>
        <v>RenéSOUTHON</v>
      </c>
      <c r="D50" s="94" t="s">
        <v>139</v>
      </c>
      <c r="E50" s="73">
        <v>71</v>
      </c>
      <c r="G50" s="126"/>
    </row>
    <row r="51" spans="1:7" ht="19.95" customHeight="1">
      <c r="A51" s="243" t="s">
        <v>38</v>
      </c>
      <c r="B51" s="243" t="s">
        <v>49</v>
      </c>
      <c r="C51" s="242" t="str">
        <f t="shared" si="8"/>
        <v>SylvieSOUTHON</v>
      </c>
      <c r="D51" s="94" t="s">
        <v>140</v>
      </c>
      <c r="E51" s="73">
        <v>75</v>
      </c>
      <c r="G51" s="126"/>
    </row>
    <row r="52" spans="1:7" ht="19.95" customHeight="1">
      <c r="A52" s="243" t="s">
        <v>26</v>
      </c>
      <c r="B52" s="244" t="s">
        <v>27</v>
      </c>
      <c r="C52" s="83" t="str">
        <f t="shared" si="5"/>
        <v>DanielVEDEL</v>
      </c>
      <c r="D52" s="94" t="s">
        <v>139</v>
      </c>
      <c r="E52" s="73">
        <v>61</v>
      </c>
    </row>
    <row r="53" spans="1:7" ht="19.95" customHeight="1">
      <c r="A53" s="76"/>
      <c r="B53" s="76"/>
      <c r="C53" s="83" t="str">
        <f t="shared" si="5"/>
        <v/>
      </c>
      <c r="D53" s="76"/>
      <c r="E53" s="76"/>
    </row>
    <row r="54" spans="1:7" ht="19.95" customHeight="1">
      <c r="A54" s="76"/>
      <c r="B54" s="76"/>
      <c r="C54" s="83" t="str">
        <f t="shared" si="5"/>
        <v/>
      </c>
      <c r="D54" s="76"/>
      <c r="E54" s="76"/>
    </row>
    <row r="55" spans="1:7" ht="19.95" customHeight="1" thickBot="1">
      <c r="A55" s="288" t="s">
        <v>8</v>
      </c>
      <c r="B55" s="289"/>
      <c r="C55" s="289"/>
      <c r="D55" s="289"/>
    </row>
    <row r="56" spans="1:7" ht="19.95" customHeight="1" thickBot="1">
      <c r="A56" s="84" t="s">
        <v>128</v>
      </c>
      <c r="B56" s="85" t="s">
        <v>70</v>
      </c>
      <c r="C56" s="86" t="s">
        <v>134</v>
      </c>
      <c r="D56" s="86" t="s">
        <v>141</v>
      </c>
      <c r="E56" s="73" t="s">
        <v>129</v>
      </c>
      <c r="G56" s="89" t="s">
        <v>135</v>
      </c>
    </row>
    <row r="57" spans="1:7" ht="19.95" customHeight="1">
      <c r="A57" s="231" t="s">
        <v>53</v>
      </c>
      <c r="B57" s="232" t="s">
        <v>205</v>
      </c>
      <c r="C57" s="83" t="str">
        <f t="shared" si="5"/>
        <v>HervéGAILLARD</v>
      </c>
      <c r="D57" s="94" t="s">
        <v>139</v>
      </c>
      <c r="E57" s="73">
        <v>58</v>
      </c>
      <c r="G57" s="90">
        <f>SMALL(Tableau7172533414957[BRUT],1)</f>
        <v>58</v>
      </c>
    </row>
    <row r="58" spans="1:7" ht="19.95" customHeight="1">
      <c r="A58" s="245" t="s">
        <v>20</v>
      </c>
      <c r="B58" s="246" t="s">
        <v>21</v>
      </c>
      <c r="C58" s="83" t="str">
        <f t="shared" si="5"/>
        <v>MarcGRAVELIN</v>
      </c>
      <c r="D58" s="94" t="s">
        <v>139</v>
      </c>
      <c r="E58" s="73">
        <v>78</v>
      </c>
      <c r="G58" s="90">
        <f>SMALL(Tableau7172533414957[BRUT],2)</f>
        <v>60</v>
      </c>
    </row>
    <row r="59" spans="1:7" ht="19.95" customHeight="1">
      <c r="A59" s="231" t="s">
        <v>91</v>
      </c>
      <c r="B59" s="232" t="s">
        <v>44</v>
      </c>
      <c r="C59" s="83" t="str">
        <f t="shared" si="5"/>
        <v>GillesJOSSIER</v>
      </c>
      <c r="D59" s="94" t="s">
        <v>139</v>
      </c>
      <c r="E59" s="73">
        <v>65</v>
      </c>
      <c r="G59" s="90">
        <f>SMALL(Tableau7172533414957[BRUT],3)</f>
        <v>63</v>
      </c>
    </row>
    <row r="60" spans="1:7" ht="19.95" customHeight="1">
      <c r="A60" s="231" t="s">
        <v>13</v>
      </c>
      <c r="B60" s="232" t="s">
        <v>14</v>
      </c>
      <c r="C60" s="162" t="str">
        <f t="shared" ref="C60:C61" si="9">TRIM(CONCATENATE(B60,A60))</f>
        <v>JeanLOUBAT</v>
      </c>
      <c r="D60" s="94" t="s">
        <v>139</v>
      </c>
      <c r="E60" s="73">
        <v>63</v>
      </c>
    </row>
    <row r="61" spans="1:7" ht="19.95" customHeight="1">
      <c r="A61" s="231" t="s">
        <v>73</v>
      </c>
      <c r="B61" s="231" t="s">
        <v>67</v>
      </c>
      <c r="C61" s="162" t="str">
        <f t="shared" si="9"/>
        <v>ElisabethMEYNIAL</v>
      </c>
      <c r="D61" s="94" t="s">
        <v>140</v>
      </c>
      <c r="E61" s="73">
        <v>75</v>
      </c>
    </row>
    <row r="62" spans="1:7" ht="19.95" customHeight="1">
      <c r="A62" s="231" t="s">
        <v>32</v>
      </c>
      <c r="B62" s="231" t="s">
        <v>47</v>
      </c>
      <c r="C62" s="83" t="str">
        <f t="shared" si="5"/>
        <v>HuguettePERRIER</v>
      </c>
      <c r="D62" s="94" t="s">
        <v>140</v>
      </c>
      <c r="E62" s="73">
        <v>67</v>
      </c>
    </row>
    <row r="63" spans="1:7" ht="19.95" customHeight="1">
      <c r="A63" s="231" t="s">
        <v>32</v>
      </c>
      <c r="B63" s="232" t="s">
        <v>33</v>
      </c>
      <c r="C63" s="83" t="str">
        <f t="shared" si="5"/>
        <v>SergePERRIER</v>
      </c>
      <c r="D63" s="94" t="s">
        <v>139</v>
      </c>
      <c r="E63" s="73">
        <v>65</v>
      </c>
    </row>
    <row r="64" spans="1:7" ht="19.95" customHeight="1">
      <c r="A64" s="231" t="s">
        <v>110</v>
      </c>
      <c r="B64" s="232" t="s">
        <v>33</v>
      </c>
      <c r="C64" s="83" t="str">
        <f t="shared" si="5"/>
        <v>SergeROBERT</v>
      </c>
      <c r="D64" s="94" t="s">
        <v>139</v>
      </c>
      <c r="E64" s="73">
        <v>60</v>
      </c>
    </row>
    <row r="65" spans="1:7" ht="19.95" customHeight="1">
      <c r="A65" s="76"/>
      <c r="B65" s="76"/>
      <c r="C65" s="83" t="str">
        <f t="shared" si="5"/>
        <v/>
      </c>
      <c r="D65" s="76"/>
      <c r="E65" s="81"/>
    </row>
    <row r="66" spans="1:7" ht="19.95" customHeight="1">
      <c r="A66" s="76"/>
      <c r="B66" s="76"/>
      <c r="C66" s="83" t="str">
        <f t="shared" si="5"/>
        <v/>
      </c>
      <c r="D66" s="76"/>
      <c r="E66" s="76"/>
    </row>
    <row r="67" spans="1:7" ht="19.95" customHeight="1" thickBot="1">
      <c r="A67" s="290" t="s">
        <v>63</v>
      </c>
      <c r="B67" s="291"/>
      <c r="C67" s="291"/>
      <c r="D67" s="291"/>
    </row>
    <row r="68" spans="1:7" ht="19.95" customHeight="1" thickBot="1">
      <c r="A68" s="88" t="s">
        <v>128</v>
      </c>
      <c r="B68" s="85" t="s">
        <v>70</v>
      </c>
      <c r="C68" s="86" t="s">
        <v>134</v>
      </c>
      <c r="D68" s="86" t="s">
        <v>141</v>
      </c>
      <c r="E68" s="73" t="s">
        <v>129</v>
      </c>
      <c r="G68" s="89" t="s">
        <v>135</v>
      </c>
    </row>
    <row r="69" spans="1:7" ht="19.95" customHeight="1">
      <c r="A69" s="247" t="s">
        <v>118</v>
      </c>
      <c r="B69" s="248" t="s">
        <v>40</v>
      </c>
      <c r="C69" s="83" t="str">
        <f t="shared" si="5"/>
        <v>PhilippeCARRER</v>
      </c>
      <c r="D69" s="94" t="s">
        <v>139</v>
      </c>
      <c r="E69" s="73">
        <v>69</v>
      </c>
      <c r="G69" s="90">
        <f>SMALL(Tableau8182634425058[BRUT],1)</f>
        <v>66</v>
      </c>
    </row>
    <row r="70" spans="1:7" ht="19.95" customHeight="1">
      <c r="A70" s="247" t="s">
        <v>118</v>
      </c>
      <c r="B70" s="247" t="s">
        <v>120</v>
      </c>
      <c r="C70" s="83" t="str">
        <f t="shared" si="5"/>
        <v>JacquelineCARRER</v>
      </c>
      <c r="D70" s="94" t="s">
        <v>140</v>
      </c>
      <c r="E70" s="73">
        <v>76</v>
      </c>
      <c r="G70" s="90">
        <f>SMALL(Tableau8182634425058[BRUT],2)</f>
        <v>66</v>
      </c>
    </row>
    <row r="71" spans="1:7" ht="19.95" customHeight="1">
      <c r="A71" s="247" t="s">
        <v>25</v>
      </c>
      <c r="B71" s="248" t="s">
        <v>12</v>
      </c>
      <c r="C71" s="162" t="str">
        <f t="shared" ref="C71:C72" si="10">TRIM(CONCATENATE(B71,A71))</f>
        <v>MichelLABAUNE</v>
      </c>
      <c r="D71" s="94" t="s">
        <v>139</v>
      </c>
      <c r="E71" s="73">
        <v>74</v>
      </c>
      <c r="G71" s="90">
        <f>SMALL(Tableau8182634425058[BRUT],3)</f>
        <v>69</v>
      </c>
    </row>
    <row r="72" spans="1:7" ht="19.95" customHeight="1">
      <c r="A72" s="247" t="s">
        <v>208</v>
      </c>
      <c r="B72" s="248" t="s">
        <v>109</v>
      </c>
      <c r="C72" s="162" t="str">
        <f t="shared" si="10"/>
        <v>PatriceMAURIO</v>
      </c>
      <c r="D72" s="94" t="s">
        <v>139</v>
      </c>
      <c r="E72" s="73">
        <v>66</v>
      </c>
      <c r="G72" s="126"/>
    </row>
    <row r="73" spans="1:7" ht="19.95" customHeight="1">
      <c r="A73" s="247" t="s">
        <v>51</v>
      </c>
      <c r="B73" s="247" t="s">
        <v>52</v>
      </c>
      <c r="C73" s="83" t="str">
        <f t="shared" si="5"/>
        <v>Marie HélèneMONCHAUX</v>
      </c>
      <c r="D73" s="94" t="s">
        <v>140</v>
      </c>
      <c r="E73" s="73">
        <v>79</v>
      </c>
    </row>
    <row r="74" spans="1:7" ht="19.95" customHeight="1">
      <c r="A74" s="247" t="s">
        <v>62</v>
      </c>
      <c r="B74" s="247" t="s">
        <v>55</v>
      </c>
      <c r="C74" s="83" t="str">
        <f t="shared" si="5"/>
        <v>MartineVACHOT</v>
      </c>
      <c r="D74" s="94" t="s">
        <v>140</v>
      </c>
      <c r="E74" s="73">
        <v>66</v>
      </c>
    </row>
    <row r="75" spans="1:7" ht="19.95" customHeight="1">
      <c r="A75" s="76"/>
      <c r="B75" s="76"/>
      <c r="C75" s="83" t="str">
        <f t="shared" si="5"/>
        <v/>
      </c>
      <c r="D75" s="76"/>
      <c r="E75" s="76"/>
    </row>
    <row r="76" spans="1:7" ht="19.95" customHeight="1">
      <c r="A76" s="76"/>
      <c r="B76" s="76"/>
      <c r="C76" s="83" t="str">
        <f t="shared" si="5"/>
        <v/>
      </c>
      <c r="D76" s="76"/>
      <c r="E76" s="76"/>
    </row>
    <row r="77" spans="1:7" ht="19.95" customHeight="1" thickBot="1">
      <c r="A77" s="278" t="s">
        <v>24</v>
      </c>
      <c r="B77" s="279"/>
      <c r="C77" s="279"/>
      <c r="D77" s="279"/>
    </row>
    <row r="78" spans="1:7" ht="19.95" customHeight="1" thickBot="1">
      <c r="A78" s="84" t="s">
        <v>128</v>
      </c>
      <c r="B78" s="85" t="s">
        <v>70</v>
      </c>
      <c r="C78" s="86" t="s">
        <v>134</v>
      </c>
      <c r="D78" s="86" t="s">
        <v>141</v>
      </c>
      <c r="E78" s="73" t="s">
        <v>129</v>
      </c>
      <c r="G78" s="89" t="s">
        <v>135</v>
      </c>
    </row>
    <row r="79" spans="1:7" ht="19.95" customHeight="1">
      <c r="A79" s="221" t="s">
        <v>193</v>
      </c>
      <c r="B79" s="221" t="s">
        <v>194</v>
      </c>
      <c r="C79" s="83" t="str">
        <f t="shared" si="5"/>
        <v>YvetteBARON</v>
      </c>
      <c r="D79" s="94" t="s">
        <v>140</v>
      </c>
      <c r="E79" s="73">
        <v>76</v>
      </c>
      <c r="G79" s="90">
        <f>SMALL(Tableau9192735435159[BRUT],1)</f>
        <v>53</v>
      </c>
    </row>
    <row r="80" spans="1:7" ht="19.95" customHeight="1">
      <c r="A80" s="221" t="s">
        <v>115</v>
      </c>
      <c r="B80" s="221" t="s">
        <v>116</v>
      </c>
      <c r="C80" s="83" t="str">
        <f t="shared" si="5"/>
        <v>ChristianeBOURNAT</v>
      </c>
      <c r="D80" s="94" t="s">
        <v>140</v>
      </c>
      <c r="E80" s="73">
        <v>78</v>
      </c>
      <c r="G80" s="90">
        <f>SMALL(Tableau9192735435159[BRUT],2)</f>
        <v>64</v>
      </c>
    </row>
    <row r="81" spans="1:7" ht="19.95" customHeight="1">
      <c r="A81" s="221" t="s">
        <v>232</v>
      </c>
      <c r="B81" s="221" t="s">
        <v>57</v>
      </c>
      <c r="C81" s="83" t="str">
        <f t="shared" si="5"/>
        <v>CorinneDUBERT</v>
      </c>
      <c r="D81" s="94" t="s">
        <v>140</v>
      </c>
      <c r="E81" s="73">
        <v>66</v>
      </c>
      <c r="G81" s="90">
        <f>SMALL(Tableau9192735435159[BRUT],3)</f>
        <v>66</v>
      </c>
    </row>
    <row r="82" spans="1:7" ht="18.600000000000001">
      <c r="A82" s="221" t="s">
        <v>102</v>
      </c>
      <c r="B82" s="221" t="s">
        <v>55</v>
      </c>
      <c r="C82" s="83" t="str">
        <f t="shared" si="5"/>
        <v>MartineMOUTH</v>
      </c>
      <c r="D82" s="94" t="s">
        <v>140</v>
      </c>
      <c r="E82" s="73">
        <v>72</v>
      </c>
    </row>
    <row r="83" spans="1:7" ht="18.600000000000001">
      <c r="A83" s="221" t="s">
        <v>222</v>
      </c>
      <c r="B83" s="216" t="s">
        <v>12</v>
      </c>
      <c r="C83" s="242" t="str">
        <f t="shared" ref="C83:C84" si="11">TRIM(CONCATENATE(B83,A83))</f>
        <v>MichelPOMARES</v>
      </c>
      <c r="D83" s="94" t="s">
        <v>139</v>
      </c>
      <c r="E83" s="73">
        <v>53</v>
      </c>
    </row>
    <row r="84" spans="1:7" ht="18.600000000000001">
      <c r="A84" s="221" t="s">
        <v>225</v>
      </c>
      <c r="B84" s="230" t="s">
        <v>60</v>
      </c>
      <c r="C84" s="242" t="str">
        <f t="shared" si="11"/>
        <v>ClaudeSIMONIN</v>
      </c>
      <c r="D84" s="94" t="s">
        <v>139</v>
      </c>
      <c r="E84" s="73">
        <v>64</v>
      </c>
    </row>
  </sheetData>
  <mergeCells count="12">
    <mergeCell ref="A77:D77"/>
    <mergeCell ref="A1:I1"/>
    <mergeCell ref="A3:D3"/>
    <mergeCell ref="J5:K5"/>
    <mergeCell ref="J11:K11"/>
    <mergeCell ref="A15:D15"/>
    <mergeCell ref="J16:K16"/>
    <mergeCell ref="J19:K19"/>
    <mergeCell ref="A29:D29"/>
    <mergeCell ref="A37:D37"/>
    <mergeCell ref="A55:D55"/>
    <mergeCell ref="A67:D67"/>
  </mergeCells>
  <dataValidations count="2">
    <dataValidation type="list" allowBlank="1" showInputMessage="1" showErrorMessage="1" sqref="J17" xr:uid="{00000000-0002-0000-0800-000001000000}">
      <formula1>NOMBIS</formula1>
    </dataValidation>
    <dataValidation type="list" allowBlank="1" showInputMessage="1" showErrorMessage="1" sqref="A39:B52 J8:K8" xr:uid="{00000000-0002-0000-0800-000000000000}">
      <formula1>NOM</formula1>
    </dataValidation>
  </dataValidations>
  <pageMargins left="0.7" right="0.7" top="0.75" bottom="0.75" header="0.3" footer="0.3"/>
  <pageSetup paperSize="9" orientation="portrait" r:id="rId1"/>
  <ignoredErrors>
    <ignoredError sqref="C5:C11" calculatedColumn="1"/>
  </ignoredErrors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Metadata/LabelInfo.xml><?xml version="1.0" encoding="utf-8"?>
<clbl:labelList xmlns:clbl="http://schemas.microsoft.com/office/2020/mipLabelMetadata">
  <clbl:label id="{0a217bfd-7fc6-4e23-babe-07368f99370d}" enabled="1" method="Standard" siteId="{fda9decf-e892-43ac-9d9f-1a493f9f98d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GENERAL INDIV (2)</vt:lpstr>
      <vt:lpstr>GENERAL EQUIPE</vt:lpstr>
      <vt:lpstr>T1</vt:lpstr>
      <vt:lpstr>T2</vt:lpstr>
      <vt:lpstr>T3</vt:lpstr>
      <vt:lpstr>T4</vt:lpstr>
      <vt:lpstr>T5</vt:lpstr>
      <vt:lpstr>T6</vt:lpstr>
      <vt:lpstr>T7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CAMBET</dc:creator>
  <cp:lastModifiedBy>VALEILLE, AURELIEN - [Magellan]</cp:lastModifiedBy>
  <cp:lastPrinted>2026-09-27T17:51:03Z</cp:lastPrinted>
  <dcterms:created xsi:type="dcterms:W3CDTF">2020-09-20T21:12:54Z</dcterms:created>
  <dcterms:modified xsi:type="dcterms:W3CDTF">2026-09-27T17:53:46Z</dcterms:modified>
</cp:coreProperties>
</file>